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2120" windowHeight="9120" firstSheet="0" activeTab="0"/>
  </bookViews>
  <sheets>
    <sheet name="Equip, including Manual" sheetId="1" r:id="rId1"/>
    <sheet name="Equip with Accrual" sheetId="2" r:id="rId2"/>
    <sheet name="Equip wo Accrual" sheetId="3" r:id="rId3"/>
  </sheets>
  <definedNames>
    <definedName name="_Regression_Int" localSheetId="1" hidden="1">1</definedName>
    <definedName name="_Regression_Int" localSheetId="2" hidden="1">1</definedName>
    <definedName name="_Regression_Int" localSheetId="0" hidden="1">1</definedName>
    <definedName name="_xlnm.Print_Area" localSheetId="1">'Equip with Accrual'!$A$1:$L$168</definedName>
    <definedName name="_xlnm.Print_Area" localSheetId="2">'Equip wo Accrual'!$A$1:$L$129</definedName>
    <definedName name="_xlnm.Print_Area" localSheetId="0">'Equip, including Manual'!$A$1:$L$261</definedName>
    <definedName name="Print_Area_MI" localSheetId="1">'Equip with Accrual'!$A$89:$L$125</definedName>
    <definedName name="Print_Area_MI" localSheetId="0">'Equip, including Manual'!$A$90:$L$125</definedName>
    <definedName name="Print_Area_MI">'Equip wo Accrual'!$A$86:$L$130</definedName>
    <definedName name="Print_Titles_MI" localSheetId="1">'Equip with Accrual'!#REF!,'Equip with Accrual'!#REF!</definedName>
    <definedName name="Print_Titles_MI" localSheetId="0">'Equip, including Manual'!#REF!,'Equip, including Manual'!#REF!</definedName>
    <definedName name="Print_Titles_MI">'Equip wo Accrual'!#REF!,'Equip wo Accrual'!#REF!</definedName>
  </definedNames>
  <calcPr fullCalcOnLoad="1"/>
</workbook>
</file>

<file path=xl/sharedStrings.xml><?xml version="1.0" encoding="utf-8"?>
<sst xmlns="http://schemas.openxmlformats.org/spreadsheetml/2006/main" count="609" uniqueCount="157">
  <si>
    <t>SPREADSHEET TO COST EQUIPMENT</t>
  </si>
  <si>
    <t>R. I. CARR, OCTOBER 31,1989</t>
  </si>
  <si>
    <t>MAP</t>
  </si>
  <si>
    <t>INPUT DATA FOR ALL CASES</t>
  </si>
  <si>
    <t>CALCULATED VALUES FOR ALL CASES</t>
  </si>
  <si>
    <t>ECONOMIC LIFE CALCULATIONS</t>
  </si>
  <si>
    <t>HOURLY COST OF EQUIPMENT</t>
  </si>
  <si>
    <t>First cost</t>
  </si>
  <si>
    <t>Expected rate of return</t>
  </si>
  <si>
    <t>Insurance, property tax, % value @ start of year</t>
  </si>
  <si>
    <t>Income tax rate</t>
  </si>
  <si>
    <t>Cost of new tires</t>
  </si>
  <si>
    <t>Life of tires, hr</t>
  </si>
  <si>
    <t>Annual tire repair, % of tire wear</t>
  </si>
  <si>
    <t>Fuel cost, per gallon</t>
  </si>
  <si>
    <t>Oil, lube, per hour</t>
  </si>
  <si>
    <t>Annual hours of use</t>
  </si>
  <si>
    <t>Crew cost less this equipment (includes operator)</t>
  </si>
  <si>
    <t>Cost of downtime, per hour</t>
  </si>
  <si>
    <t>Year of life</t>
  </si>
  <si>
    <t>End of year salvage</t>
  </si>
  <si>
    <t>Fuel use per hour, gallon</t>
  </si>
  <si>
    <t>Output loss, old vs. new</t>
  </si>
  <si>
    <t>Output loss, new vs. replacement</t>
  </si>
  <si>
    <t>Replacement cost multiplier</t>
  </si>
  <si>
    <t>Repair cost per hour</t>
  </si>
  <si>
    <t>Downtime</t>
  </si>
  <si>
    <t xml:space="preserve">End of year salvage = (first cost)*(end of yr sal %) </t>
  </si>
  <si>
    <t>Value at start of year = (salvage last year)</t>
  </si>
  <si>
    <t>Depreciation = (start of yr value)-(end of yr salvage)</t>
  </si>
  <si>
    <t>Average value for year = ((start of yr val)+(end of yr sal))/2</t>
  </si>
  <si>
    <t>Prop tax, ins = (ins, prop tax %)*(start of yr val)</t>
  </si>
  <si>
    <t>Income tax credit, depreciation = (income tax %)*depreciation</t>
  </si>
  <si>
    <t>Tire wear &amp; repair = (cost/life)*(1 + repair)*hours</t>
  </si>
  <si>
    <t>Fuel = (gal/hr)*($/gal)*hours</t>
  </si>
  <si>
    <t>Oil, lube = ($/hr)*hours</t>
  </si>
  <si>
    <t>Repair = ($/hr)*hours</t>
  </si>
  <si>
    <t>Downtime = (% downtime)*hours*(cost/hr)</t>
  </si>
  <si>
    <t>Output loss = ((1+(vs. new))(1+(vs. rep))-1)*(hours*(crew cost)+tires+fuel+oil+repairs+downtime)</t>
  </si>
  <si>
    <t>Extra cost of replacement = (first cost)*(replacement cost mult - 1)</t>
  </si>
  <si>
    <t>(P/F,i,n)=1/((1+i)^n)</t>
  </si>
  <si>
    <t>(P/(cont F),i,n)=i/(((1+i)^n)*ln(1+i))</t>
  </si>
  <si>
    <t>((cont A)/P,i,n)=(((1+i)^n)*ln(1+i))/((1+i)^n-1)</t>
  </si>
  <si>
    <t>Service Life</t>
  </si>
  <si>
    <t xml:space="preserve">START OF PERIOD CASH FLOW </t>
  </si>
  <si>
    <t xml:space="preserve">   dollars</t>
  </si>
  <si>
    <t>dollars / hr</t>
  </si>
  <si>
    <t>Property tax, insurance</t>
  </si>
  <si>
    <t>Tires (approx only)</t>
  </si>
  <si>
    <t>-</t>
  </si>
  <si>
    <t>Sum, start of period flows</t>
  </si>
  <si>
    <t xml:space="preserve">Cum Present worth = </t>
  </si>
  <si>
    <t xml:space="preserve">      sum of (F(P/F,i,n-1))</t>
  </si>
  <si>
    <t>END OF PERIOD CASH FLOW</t>
  </si>
  <si>
    <t>Income tax credit, from deprec</t>
  </si>
  <si>
    <t>Sum, end of period flows</t>
  </si>
  <si>
    <t xml:space="preserve">      sum of (F(P/F,i,n))</t>
  </si>
  <si>
    <t>CONTINUOUS PERIOD CASH FLOW = (cont F)</t>
  </si>
  <si>
    <t>Fuel</t>
  </si>
  <si>
    <t>Oil, lube</t>
  </si>
  <si>
    <t>Repair</t>
  </si>
  <si>
    <t>Output loss</t>
  </si>
  <si>
    <t>Sum, continuous period cash flows = cont F</t>
  </si>
  <si>
    <t xml:space="preserve">Cumulative Present worth = </t>
  </si>
  <si>
    <t xml:space="preserve">        sum of (cont F)(P/(cont F),i,n)</t>
  </si>
  <si>
    <t>END OF LIFE CASH FLOW = F</t>
  </si>
  <si>
    <t>Salvage</t>
  </si>
  <si>
    <t>Replacement cost increase</t>
  </si>
  <si>
    <t xml:space="preserve">  Present worth = (sum)(P/F,i,n)</t>
  </si>
  <si>
    <t xml:space="preserve">  Cumulative Present worth </t>
  </si>
  <si>
    <t>Hourly cost = P((cont A)/P,i,n)</t>
  </si>
  <si>
    <t xml:space="preserve">  for service life of </t>
  </si>
  <si>
    <t>J54 = (I54/H49 + E54*H47/F18) * I49</t>
  </si>
  <si>
    <t>J62 = (I62/H49 + E62*  I47/F18) * I49</t>
  </si>
  <si>
    <t>J68 = (I68/H49 + E68*  I48/F18) * I49</t>
  </si>
  <si>
    <t>J78 = (                E78*  I47/F18) * I49</t>
  </si>
  <si>
    <t>HOURLY COST CALCULATIONS</t>
  </si>
  <si>
    <t>ACCRUAL ECONOMIC LIFE CALCULATIONS</t>
  </si>
  <si>
    <t>Depreciation</t>
  </si>
  <si>
    <t>ANNUAL COSTS</t>
  </si>
  <si>
    <t>END OF LIFE COSTS</t>
  </si>
  <si>
    <t>DISCOUNTED CASH FLOW CALCULATIONS</t>
  </si>
  <si>
    <t xml:space="preserve">     HOURLY COST OF EQUIPMENT</t>
  </si>
  <si>
    <t>ACCRUAL COST CALCULATIONS</t>
  </si>
  <si>
    <t>Output loss = ((1+(vs. new))(1+(vs. rep))-1)</t>
  </si>
  <si>
    <t>ACCRUAL HOURLY COST CALCULATIONS</t>
  </si>
  <si>
    <t xml:space="preserve">     *(hours*(crew cost)+tires+fuel+oil+repairs+downtime)</t>
  </si>
  <si>
    <t>ANNUAL VALUES</t>
  </si>
  <si>
    <t>CONSTANTS OVER LIFETIME</t>
  </si>
  <si>
    <t>DISCOUNTED CASH FLOW: ECONOMIC LIFE CALCULATIONS</t>
  </si>
  <si>
    <t>CONTINUOUS PERIOD CASH FLOW</t>
  </si>
  <si>
    <t xml:space="preserve">                         for service life of </t>
  </si>
  <si>
    <t xml:space="preserve">CONTINUOUS PERIOD CASH FLOW </t>
  </si>
  <si>
    <r>
      <t xml:space="preserve">Cum Present worth = </t>
    </r>
    <r>
      <rPr>
        <sz val="10"/>
        <rFont val="Symbol"/>
        <family val="1"/>
      </rPr>
      <t>S</t>
    </r>
    <r>
      <rPr>
        <sz val="10"/>
        <rFont val="Helvetica"/>
        <family val="0"/>
      </rPr>
      <t>(F(P/F,i,n))</t>
    </r>
  </si>
  <si>
    <r>
      <t xml:space="preserve">Cum Present worth = </t>
    </r>
    <r>
      <rPr>
        <sz val="10"/>
        <rFont val="Symbol"/>
        <family val="1"/>
      </rPr>
      <t>S</t>
    </r>
    <r>
      <rPr>
        <sz val="10"/>
        <rFont val="Helvetica"/>
        <family val="0"/>
      </rPr>
      <t>(F(P/F,i,n-1))</t>
    </r>
  </si>
  <si>
    <r>
      <t xml:space="preserve">  Present worth = </t>
    </r>
    <r>
      <rPr>
        <sz val="10"/>
        <rFont val="Symbol"/>
        <family val="1"/>
      </rPr>
      <t>S</t>
    </r>
    <r>
      <rPr>
        <sz val="10"/>
        <rFont val="Helvetica"/>
        <family val="0"/>
      </rPr>
      <t>(P/F,i,n)</t>
    </r>
  </si>
  <si>
    <t>DISCOUNTED CASH FLOW: HOURLY COST CALCULATIONS</t>
  </si>
  <si>
    <r>
      <t>Cumulative present worth=</t>
    </r>
    <r>
      <rPr>
        <sz val="10"/>
        <rFont val="Symbol"/>
        <family val="1"/>
      </rPr>
      <t>S</t>
    </r>
    <r>
      <rPr>
        <sz val="10"/>
        <rFont val="Helvetica"/>
        <family val="0"/>
      </rPr>
      <t>(</t>
    </r>
    <r>
      <rPr>
        <u val="double"/>
        <sz val="10"/>
        <rFont val="Helvetica"/>
        <family val="2"/>
      </rPr>
      <t xml:space="preserve"> F </t>
    </r>
    <r>
      <rPr>
        <sz val="10"/>
        <rFont val="Helvetica"/>
        <family val="0"/>
      </rPr>
      <t>(P/</t>
    </r>
    <r>
      <rPr>
        <u val="double"/>
        <sz val="10"/>
        <rFont val="Helvetica"/>
        <family val="2"/>
      </rPr>
      <t xml:space="preserve"> F </t>
    </r>
    <r>
      <rPr>
        <sz val="10"/>
        <rFont val="Helvetica"/>
        <family val="0"/>
      </rPr>
      <t>,i,n))</t>
    </r>
  </si>
  <si>
    <r>
      <t xml:space="preserve">Note: </t>
    </r>
    <r>
      <rPr>
        <u val="double"/>
        <sz val="10"/>
        <rFont val="Helvetica"/>
        <family val="2"/>
      </rPr>
      <t xml:space="preserve"> A </t>
    </r>
    <r>
      <rPr>
        <sz val="10"/>
        <rFont val="Helvetica"/>
        <family val="2"/>
      </rPr>
      <t xml:space="preserve"> &amp; </t>
    </r>
    <r>
      <rPr>
        <u val="double"/>
        <sz val="10"/>
        <rFont val="Helvetica"/>
        <family val="2"/>
      </rPr>
      <t xml:space="preserve"> F </t>
    </r>
    <r>
      <rPr>
        <sz val="10"/>
        <rFont val="Helvetica"/>
        <family val="2"/>
      </rPr>
      <t>= continuous A &amp; F</t>
    </r>
  </si>
  <si>
    <r>
      <t>Sum, continuous period cash flows =</t>
    </r>
    <r>
      <rPr>
        <u val="double"/>
        <sz val="10"/>
        <rFont val="Helvetica"/>
        <family val="2"/>
      </rPr>
      <t xml:space="preserve"> F </t>
    </r>
  </si>
  <si>
    <r>
      <t>(P/</t>
    </r>
    <r>
      <rPr>
        <u val="double"/>
        <sz val="10"/>
        <rFont val="Helvetica"/>
        <family val="2"/>
      </rPr>
      <t xml:space="preserve"> F </t>
    </r>
    <r>
      <rPr>
        <sz val="10"/>
        <rFont val="Helvetica"/>
        <family val="0"/>
      </rPr>
      <t>,i,n)=i/(((1+i)^n)*ln(1+i))</t>
    </r>
  </si>
  <si>
    <r>
      <t>(</t>
    </r>
    <r>
      <rPr>
        <u val="double"/>
        <sz val="10"/>
        <rFont val="Helvetica"/>
        <family val="2"/>
      </rPr>
      <t xml:space="preserve"> A </t>
    </r>
    <r>
      <rPr>
        <sz val="10"/>
        <rFont val="Helvetica"/>
        <family val="0"/>
      </rPr>
      <t>/P,i,n)=(((1+i)^n)*ln(1+i))/((1+i)^n-1)</t>
    </r>
  </si>
  <si>
    <t>EQUIPMENT COST SPREADSHEET</t>
  </si>
  <si>
    <t>Sum, annual costs</t>
  </si>
  <si>
    <t>Cumulative annual cost</t>
  </si>
  <si>
    <t>Hourly cost = (cumulative cost)/(hours)</t>
  </si>
  <si>
    <r>
      <t>Hourly cost = P(</t>
    </r>
    <r>
      <rPr>
        <u val="double"/>
        <sz val="10"/>
        <rFont val="Helvetica"/>
        <family val="2"/>
      </rPr>
      <t xml:space="preserve"> A </t>
    </r>
    <r>
      <rPr>
        <sz val="10"/>
        <rFont val="Helvetica"/>
        <family val="0"/>
      </rPr>
      <t>/P,i,n)/(hours)</t>
    </r>
  </si>
  <si>
    <t>Cumulative cost over service life</t>
  </si>
  <si>
    <t>Income tax credit, from depreciation</t>
  </si>
  <si>
    <t xml:space="preserve">     ECONOMIC LIFE</t>
  </si>
  <si>
    <t xml:space="preserve">     CONSTANTS OVER LIFETIME</t>
  </si>
  <si>
    <t xml:space="preserve">     ANNUAL VALUES</t>
  </si>
  <si>
    <t>By R. I. Carr, October 22, 1997</t>
  </si>
  <si>
    <t>Income tax credit from depreciation = (income tax %)*depreciation</t>
  </si>
  <si>
    <t>Note: This was used for several years in CEE 531..</t>
  </si>
  <si>
    <t xml:space="preserve">           It is superceded by spreadsheet that includes accrual method.</t>
  </si>
  <si>
    <t>J63 = (I63/H60 + E63 *H58/F24) * I60</t>
  </si>
  <si>
    <t>J70 = (I70/H60 + E70 * I58/F24) * I60</t>
  </si>
  <si>
    <t>J75 = (I75/H60 + E75 * I59/F24) * I60</t>
  </si>
  <si>
    <t>J84 = (                E84 * I58/F24) * I60</t>
  </si>
  <si>
    <t>Return on investment = (expected ROR %)*(average value for year)</t>
  </si>
  <si>
    <t>Return on investment</t>
  </si>
  <si>
    <r>
      <t xml:space="preserve">Sum, end of life cash flows = </t>
    </r>
    <r>
      <rPr>
        <sz val="10"/>
        <rFont val="Symbol"/>
        <family val="1"/>
      </rPr>
      <t>S</t>
    </r>
    <r>
      <rPr>
        <sz val="10"/>
        <rFont val="Helvetica"/>
        <family val="0"/>
      </rPr>
      <t>(F)</t>
    </r>
  </si>
  <si>
    <t>Year of life = n</t>
  </si>
  <si>
    <r>
      <t xml:space="preserve">Hourly cost =[ </t>
    </r>
    <r>
      <rPr>
        <sz val="10"/>
        <rFont val="Symbol"/>
        <family val="1"/>
      </rPr>
      <t>S</t>
    </r>
    <r>
      <rPr>
        <sz val="10"/>
        <rFont val="Helvetica"/>
        <family val="0"/>
      </rPr>
      <t>(P)](</t>
    </r>
    <r>
      <rPr>
        <u val="double"/>
        <sz val="10"/>
        <rFont val="Helvetica"/>
        <family val="2"/>
      </rPr>
      <t xml:space="preserve"> A </t>
    </r>
    <r>
      <rPr>
        <sz val="10"/>
        <rFont val="Helvetica"/>
        <family val="0"/>
      </rPr>
      <t>/P,i,N)/(hours)</t>
    </r>
  </si>
  <si>
    <t>Service Life = N</t>
  </si>
  <si>
    <t>Service life = N</t>
  </si>
  <si>
    <r>
      <t>START OF PERIOD CASH FLOW = P</t>
    </r>
    <r>
      <rPr>
        <vertAlign val="subscript"/>
        <sz val="10"/>
        <rFont val="Helvetica"/>
        <family val="2"/>
      </rPr>
      <t>n</t>
    </r>
  </si>
  <si>
    <r>
      <t xml:space="preserve">Sum, start of period flows = </t>
    </r>
    <r>
      <rPr>
        <sz val="10"/>
        <rFont val="Symbol"/>
        <family val="1"/>
      </rPr>
      <t>S</t>
    </r>
    <r>
      <rPr>
        <sz val="10"/>
        <rFont val="Helvetica"/>
        <family val="0"/>
      </rPr>
      <t>(P</t>
    </r>
    <r>
      <rPr>
        <vertAlign val="subscript"/>
        <sz val="10"/>
        <rFont val="Helvetica"/>
        <family val="2"/>
      </rPr>
      <t>n</t>
    </r>
    <r>
      <rPr>
        <sz val="10"/>
        <rFont val="Helvetica"/>
        <family val="0"/>
      </rPr>
      <t>)</t>
    </r>
  </si>
  <si>
    <r>
      <t>END OF PERIOD CASH FLOW = F</t>
    </r>
    <r>
      <rPr>
        <vertAlign val="subscript"/>
        <sz val="10"/>
        <rFont val="Helvetica"/>
        <family val="2"/>
      </rPr>
      <t>n</t>
    </r>
  </si>
  <si>
    <r>
      <t>Cum present worth=P=</t>
    </r>
    <r>
      <rPr>
        <sz val="11"/>
        <rFont val="Symbol"/>
        <family val="1"/>
      </rPr>
      <t>S{</t>
    </r>
    <r>
      <rPr>
        <sz val="10"/>
        <rFont val="Helvetica"/>
        <family val="0"/>
      </rPr>
      <t>[</t>
    </r>
    <r>
      <rPr>
        <sz val="10"/>
        <rFont val="Symbol"/>
        <family val="1"/>
      </rPr>
      <t>S</t>
    </r>
    <r>
      <rPr>
        <sz val="10"/>
        <rFont val="Helvetica"/>
        <family val="0"/>
      </rPr>
      <t>(F</t>
    </r>
    <r>
      <rPr>
        <vertAlign val="subscript"/>
        <sz val="10"/>
        <rFont val="Helvetica"/>
        <family val="2"/>
      </rPr>
      <t>n</t>
    </r>
    <r>
      <rPr>
        <sz val="10"/>
        <rFont val="Helvetica"/>
        <family val="0"/>
      </rPr>
      <t>)](P/F,i,n))}</t>
    </r>
  </si>
  <si>
    <r>
      <t xml:space="preserve">CONTINUOUS CASH FLOW = </t>
    </r>
    <r>
      <rPr>
        <u val="double"/>
        <sz val="10"/>
        <rFont val="Helvetica"/>
        <family val="2"/>
      </rPr>
      <t xml:space="preserve"> F</t>
    </r>
    <r>
      <rPr>
        <vertAlign val="subscript"/>
        <sz val="10"/>
        <rFont val="Helvetica"/>
        <family val="2"/>
      </rPr>
      <t>n</t>
    </r>
  </si>
  <si>
    <r>
      <t xml:space="preserve">Sum, continuous cash flows = </t>
    </r>
    <r>
      <rPr>
        <sz val="10"/>
        <rFont val="Symbol"/>
        <family val="1"/>
      </rPr>
      <t>S</t>
    </r>
    <r>
      <rPr>
        <sz val="10"/>
        <rFont val="Helvetica"/>
        <family val="0"/>
      </rPr>
      <t>(</t>
    </r>
    <r>
      <rPr>
        <u val="double"/>
        <sz val="10"/>
        <rFont val="Helvetica"/>
        <family val="2"/>
      </rPr>
      <t xml:space="preserve"> F</t>
    </r>
    <r>
      <rPr>
        <vertAlign val="subscript"/>
        <sz val="10"/>
        <rFont val="Helvetica"/>
        <family val="2"/>
      </rPr>
      <t>n</t>
    </r>
    <r>
      <rPr>
        <sz val="10"/>
        <rFont val="Helvetica"/>
        <family val="2"/>
      </rPr>
      <t>)</t>
    </r>
  </si>
  <si>
    <r>
      <t>END OF LIFE CASH FLOW = F</t>
    </r>
    <r>
      <rPr>
        <vertAlign val="subscript"/>
        <sz val="10"/>
        <rFont val="Helvetica"/>
        <family val="2"/>
      </rPr>
      <t>N</t>
    </r>
  </si>
  <si>
    <r>
      <t xml:space="preserve">Sum, end of life cash flows = </t>
    </r>
    <r>
      <rPr>
        <sz val="10"/>
        <rFont val="Symbol"/>
        <family val="1"/>
      </rPr>
      <t>S</t>
    </r>
    <r>
      <rPr>
        <sz val="10"/>
        <rFont val="Helvetica"/>
        <family val="0"/>
      </rPr>
      <t>(F</t>
    </r>
    <r>
      <rPr>
        <vertAlign val="subscript"/>
        <sz val="10"/>
        <rFont val="Helvetica"/>
        <family val="2"/>
      </rPr>
      <t>N</t>
    </r>
    <r>
      <rPr>
        <sz val="10"/>
        <rFont val="Helvetica"/>
        <family val="0"/>
      </rPr>
      <t>)</t>
    </r>
  </si>
  <si>
    <r>
      <t>Present worth = P = [</t>
    </r>
    <r>
      <rPr>
        <sz val="10"/>
        <rFont val="Symbol"/>
        <family val="1"/>
      </rPr>
      <t>S(</t>
    </r>
    <r>
      <rPr>
        <sz val="10"/>
        <rFont val="Helvetica"/>
        <family val="2"/>
      </rPr>
      <t>F</t>
    </r>
    <r>
      <rPr>
        <vertAlign val="subscript"/>
        <sz val="10"/>
        <rFont val="Helvetica"/>
        <family val="2"/>
      </rPr>
      <t>N</t>
    </r>
    <r>
      <rPr>
        <sz val="10"/>
        <rFont val="Symbol"/>
        <family val="1"/>
      </rPr>
      <t>)]</t>
    </r>
    <r>
      <rPr>
        <sz val="10"/>
        <rFont val="Helvetica"/>
        <family val="0"/>
      </rPr>
      <t>(P/F,i,N)</t>
    </r>
  </si>
  <si>
    <r>
      <t>Cum pres worth=P=</t>
    </r>
    <r>
      <rPr>
        <sz val="11"/>
        <rFont val="Symbol"/>
        <family val="1"/>
      </rPr>
      <t>S</t>
    </r>
    <r>
      <rPr>
        <sz val="10"/>
        <rFont val="Helvetica"/>
        <family val="0"/>
      </rPr>
      <t>{[</t>
    </r>
    <r>
      <rPr>
        <sz val="10"/>
        <rFont val="Symbol"/>
        <family val="1"/>
      </rPr>
      <t>S</t>
    </r>
    <r>
      <rPr>
        <sz val="10"/>
        <rFont val="Helvetica"/>
        <family val="0"/>
      </rPr>
      <t>(</t>
    </r>
    <r>
      <rPr>
        <u val="double"/>
        <sz val="10"/>
        <rFont val="Helvetica"/>
        <family val="2"/>
      </rPr>
      <t xml:space="preserve"> F</t>
    </r>
    <r>
      <rPr>
        <vertAlign val="subscript"/>
        <sz val="10"/>
        <rFont val="Helvetica"/>
        <family val="2"/>
      </rPr>
      <t>n</t>
    </r>
    <r>
      <rPr>
        <sz val="10"/>
        <rFont val="Helvetica"/>
        <family val="2"/>
      </rPr>
      <t xml:space="preserve"> )]</t>
    </r>
    <r>
      <rPr>
        <sz val="10"/>
        <rFont val="Helvetica"/>
        <family val="0"/>
      </rPr>
      <t>(P/</t>
    </r>
    <r>
      <rPr>
        <u val="double"/>
        <sz val="10"/>
        <rFont val="Helvetica"/>
        <family val="2"/>
      </rPr>
      <t xml:space="preserve"> F </t>
    </r>
    <r>
      <rPr>
        <sz val="10"/>
        <rFont val="Helvetica"/>
        <family val="0"/>
      </rPr>
      <t>,i,n))}</t>
    </r>
  </si>
  <si>
    <r>
      <t>Cum pres worth =P=</t>
    </r>
    <r>
      <rPr>
        <sz val="11"/>
        <rFont val="Symbol"/>
        <family val="1"/>
      </rPr>
      <t>S{</t>
    </r>
    <r>
      <rPr>
        <sz val="10"/>
        <rFont val="Helvetica"/>
        <family val="0"/>
      </rPr>
      <t>[</t>
    </r>
    <r>
      <rPr>
        <sz val="10"/>
        <rFont val="Symbol"/>
        <family val="1"/>
      </rPr>
      <t>S</t>
    </r>
    <r>
      <rPr>
        <sz val="10"/>
        <rFont val="Helvetica"/>
        <family val="0"/>
      </rPr>
      <t>(P</t>
    </r>
    <r>
      <rPr>
        <vertAlign val="subscript"/>
        <sz val="10"/>
        <rFont val="Helvetica"/>
        <family val="2"/>
      </rPr>
      <t>n</t>
    </r>
    <r>
      <rPr>
        <sz val="10"/>
        <rFont val="Helvetica"/>
        <family val="0"/>
      </rPr>
      <t>)](P/F,i,n-1))}</t>
    </r>
  </si>
  <si>
    <r>
      <t xml:space="preserve">Cumulative present worth = </t>
    </r>
    <r>
      <rPr>
        <sz val="10"/>
        <rFont val="Symbol"/>
        <family val="1"/>
      </rPr>
      <t>S</t>
    </r>
    <r>
      <rPr>
        <sz val="10"/>
        <rFont val="Helvetica"/>
        <family val="0"/>
      </rPr>
      <t xml:space="preserve">(P) </t>
    </r>
  </si>
  <si>
    <r>
      <t xml:space="preserve">Sum, end of period flows = </t>
    </r>
    <r>
      <rPr>
        <sz val="10"/>
        <rFont val="Symbol"/>
        <family val="1"/>
      </rPr>
      <t>S</t>
    </r>
    <r>
      <rPr>
        <sz val="10"/>
        <rFont val="Helvetica"/>
        <family val="0"/>
      </rPr>
      <t>(F</t>
    </r>
    <r>
      <rPr>
        <vertAlign val="subscript"/>
        <sz val="10"/>
        <rFont val="Helvetica"/>
        <family val="2"/>
      </rPr>
      <t>n</t>
    </r>
    <r>
      <rPr>
        <sz val="10"/>
        <rFont val="Helvetica"/>
        <family val="0"/>
      </rPr>
      <t>)</t>
    </r>
  </si>
  <si>
    <r>
      <t xml:space="preserve">Sum, each years's present worth = </t>
    </r>
    <r>
      <rPr>
        <sz val="10"/>
        <rFont val="Symbol"/>
        <family val="1"/>
      </rPr>
      <t>S</t>
    </r>
    <r>
      <rPr>
        <sz val="10"/>
        <rFont val="Helvetica"/>
        <family val="0"/>
      </rPr>
      <t>(P)</t>
    </r>
  </si>
  <si>
    <t>DISCOUNTED CASH FLOW: ECONOMIC LIFE CASH FLOWS FOR N = 4 YEAR LIFE</t>
  </si>
  <si>
    <r>
      <t>Hourly cost=</t>
    </r>
    <r>
      <rPr>
        <sz val="10"/>
        <rFont val="Symbol"/>
        <family val="1"/>
      </rPr>
      <t>S</t>
    </r>
    <r>
      <rPr>
        <sz val="10"/>
        <rFont val="Helvetica"/>
        <family val="0"/>
      </rPr>
      <t>(P)](</t>
    </r>
    <r>
      <rPr>
        <u val="double"/>
        <sz val="10"/>
        <rFont val="Helvetica"/>
        <family val="2"/>
      </rPr>
      <t xml:space="preserve"> A </t>
    </r>
    <r>
      <rPr>
        <sz val="10"/>
        <rFont val="Helvetica"/>
        <family val="0"/>
      </rPr>
      <t>/P,i,N)/(hours) ($/hr)</t>
    </r>
  </si>
  <si>
    <r>
      <t xml:space="preserve">Sum, present worth = </t>
    </r>
    <r>
      <rPr>
        <sz val="11"/>
        <rFont val="Helvetica"/>
        <family val="2"/>
      </rPr>
      <t>P</t>
    </r>
    <r>
      <rPr>
        <sz val="10"/>
        <rFont val="Helvetica"/>
        <family val="0"/>
      </rPr>
      <t xml:space="preserve"> =</t>
    </r>
    <r>
      <rPr>
        <sz val="11"/>
        <rFont val="Symbol"/>
        <family val="1"/>
      </rPr>
      <t>S</t>
    </r>
    <r>
      <rPr>
        <sz val="10"/>
        <rFont val="Helvetica"/>
        <family val="0"/>
      </rPr>
      <t>[</t>
    </r>
    <r>
      <rPr>
        <sz val="10"/>
        <rFont val="Symbol"/>
        <family val="1"/>
      </rPr>
      <t>S</t>
    </r>
    <r>
      <rPr>
        <sz val="10"/>
        <rFont val="Helvetica"/>
        <family val="0"/>
      </rPr>
      <t>(P)]</t>
    </r>
  </si>
  <si>
    <r>
      <t>Hourly cost=</t>
    </r>
    <r>
      <rPr>
        <sz val="11"/>
        <rFont val="Helvetica"/>
        <family val="2"/>
      </rPr>
      <t>P</t>
    </r>
    <r>
      <rPr>
        <sz val="10"/>
        <rFont val="Helvetica"/>
        <family val="0"/>
      </rPr>
      <t>(</t>
    </r>
    <r>
      <rPr>
        <u val="double"/>
        <sz val="10"/>
        <rFont val="Helvetica"/>
        <family val="2"/>
      </rPr>
      <t xml:space="preserve"> A </t>
    </r>
    <r>
      <rPr>
        <sz val="10"/>
        <rFont val="Helvetica"/>
        <family val="0"/>
      </rPr>
      <t>/P,i,N)/(hours) ($/hr)</t>
    </r>
  </si>
  <si>
    <t>DISCOUNTED CASH FLOW: HOURLY COST CALCULATIONS FOR N = 4 YEAR LIFE</t>
  </si>
  <si>
    <t>ECONOMIC LIFE</t>
  </si>
  <si>
    <t>HOURLY COST</t>
  </si>
  <si>
    <t>$</t>
  </si>
  <si>
    <t>Cumulative cost over life</t>
  </si>
  <si>
    <t>Hourly cost = (cum cost)/(life)/(hours/year)</t>
  </si>
  <si>
    <r>
      <t>Present worth of sum=P=</t>
    </r>
    <r>
      <rPr>
        <sz val="10"/>
        <rFont val="Helvetica"/>
        <family val="0"/>
      </rPr>
      <t>[</t>
    </r>
    <r>
      <rPr>
        <sz val="10"/>
        <rFont val="Symbol"/>
        <family val="1"/>
      </rPr>
      <t>S</t>
    </r>
    <r>
      <rPr>
        <sz val="10"/>
        <rFont val="Helvetica"/>
        <family val="0"/>
      </rPr>
      <t>(F</t>
    </r>
    <r>
      <rPr>
        <vertAlign val="subscript"/>
        <sz val="10"/>
        <rFont val="Helvetica"/>
        <family val="2"/>
      </rPr>
      <t>n</t>
    </r>
    <r>
      <rPr>
        <sz val="10"/>
        <rFont val="Helvetica"/>
        <family val="0"/>
      </rPr>
      <t>)](P/F,i,n)</t>
    </r>
  </si>
  <si>
    <t>AVERAGE COST CALCULATIONS</t>
  </si>
  <si>
    <t>AVERAGE ECONOMIC LIFE CALCULATIONS</t>
  </si>
  <si>
    <t>AVERAGE HOURLY COST CALCULATIONS</t>
  </si>
  <si>
    <t>AVERAGE CALCULATIONS FOR 4 YEAR LIFE</t>
  </si>
  <si>
    <t>By R. I. Carr, November 8, 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</si>
</sst>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_)"/>
    <numFmt numFmtId="167" formatCode="0.00000_)"/>
    <numFmt numFmtId="168" formatCode="0_)"/>
    <numFmt numFmtId="169" formatCode="&quot;\&quot;#,##0;[Red]&quot;\&quot;\-#,##0"/>
    <numFmt numFmtId="170" formatCode="_ * #,##0_ ;_ * \-#,##0_ ;_ * &quot;-&quot;_ ;_ @_ "/>
    <numFmt numFmtId="171" formatCode="_ * #,##0.00_ ;_ * \-#,##0.00_ ;_ * &quot;-&quot;??_ ;_ @_ "/>
  </numFmts>
  <fonts count="15">
    <font>
      <sz val="10"/>
      <name val="Helvetica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Helvetica"/>
      <family val="2"/>
    </font>
    <font>
      <sz val="10"/>
      <name val="Symbol"/>
      <family val="1"/>
    </font>
    <font>
      <u val="single"/>
      <sz val="10"/>
      <name val="Helvetica"/>
      <family val="2"/>
    </font>
    <font>
      <u val="double"/>
      <sz val="10"/>
      <name val="Helvetica"/>
      <family val="2"/>
    </font>
    <font>
      <b/>
      <sz val="12"/>
      <name val="Helvetica"/>
      <family val="2"/>
    </font>
    <font>
      <sz val="11"/>
      <name val="Symbol"/>
      <family val="1"/>
    </font>
    <font>
      <vertAlign val="subscript"/>
      <sz val="10"/>
      <name val="Helvetica"/>
      <family val="2"/>
    </font>
    <font>
      <sz val="11"/>
      <name val="Helvetica"/>
      <family val="2"/>
    </font>
    <font>
      <sz val="10"/>
      <name val="Arial"/>
      <family val="0"/>
    </font>
    <font>
      <sz val="12"/>
      <name val="Osaka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3">
    <xf numFmtId="164" fontId="0" fillId="0" borderId="0" xfId="0" applyAlignment="1">
      <alignment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left"/>
      <protection/>
    </xf>
    <xf numFmtId="5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fill"/>
      <protection/>
    </xf>
    <xf numFmtId="7" fontId="0" fillId="0" borderId="0" xfId="0" applyNumberFormat="1" applyAlignment="1" applyProtection="1">
      <alignment horizontal="fill"/>
      <protection/>
    </xf>
    <xf numFmtId="168" fontId="0" fillId="0" borderId="0" xfId="0" applyNumberFormat="1" applyAlignment="1" applyProtection="1">
      <alignment/>
      <protection/>
    </xf>
    <xf numFmtId="5" fontId="0" fillId="0" borderId="1" xfId="0" applyNumberFormat="1" applyBorder="1" applyAlignment="1" applyProtection="1">
      <alignment/>
      <protection/>
    </xf>
    <xf numFmtId="7" fontId="0" fillId="0" borderId="1" xfId="0" applyNumberFormat="1" applyBorder="1" applyAlignment="1" applyProtection="1">
      <alignment/>
      <protection/>
    </xf>
    <xf numFmtId="5" fontId="0" fillId="0" borderId="2" xfId="0" applyNumberFormat="1" applyBorder="1" applyAlignment="1" applyProtection="1">
      <alignment/>
      <protection/>
    </xf>
    <xf numFmtId="7" fontId="0" fillId="0" borderId="2" xfId="0" applyNumberFormat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7" fontId="0" fillId="0" borderId="0" xfId="0" applyNumberFormat="1" applyBorder="1" applyAlignment="1" applyProtection="1">
      <alignment/>
      <protection/>
    </xf>
    <xf numFmtId="164" fontId="0" fillId="0" borderId="0" xfId="0" applyBorder="1" applyAlignment="1" applyProtection="1">
      <alignment horizontal="left"/>
      <protection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 applyProtection="1">
      <alignment horizontal="left"/>
      <protection/>
    </xf>
    <xf numFmtId="5" fontId="0" fillId="0" borderId="7" xfId="0" applyNumberFormat="1" applyBorder="1" applyAlignment="1" applyProtection="1">
      <alignment/>
      <protection/>
    </xf>
    <xf numFmtId="7" fontId="0" fillId="0" borderId="7" xfId="0" applyNumberFormat="1" applyBorder="1" applyAlignment="1" applyProtection="1">
      <alignment/>
      <protection/>
    </xf>
    <xf numFmtId="164" fontId="0" fillId="0" borderId="8" xfId="0" applyBorder="1" applyAlignment="1" applyProtection="1">
      <alignment horizontal="left"/>
      <protection/>
    </xf>
    <xf numFmtId="164" fontId="0" fillId="0" borderId="9" xfId="0" applyBorder="1" applyAlignment="1">
      <alignment/>
    </xf>
    <xf numFmtId="164" fontId="0" fillId="0" borderId="10" xfId="0" applyBorder="1" applyAlignment="1" applyProtection="1">
      <alignment horizontal="left"/>
      <protection/>
    </xf>
    <xf numFmtId="164" fontId="0" fillId="0" borderId="11" xfId="0" applyBorder="1" applyAlignment="1">
      <alignment/>
    </xf>
    <xf numFmtId="166" fontId="0" fillId="0" borderId="0" xfId="0" applyNumberFormat="1" applyBorder="1" applyAlignment="1" applyProtection="1">
      <alignment/>
      <protection/>
    </xf>
    <xf numFmtId="5" fontId="0" fillId="0" borderId="9" xfId="0" applyNumberFormat="1" applyBorder="1" applyAlignment="1" applyProtection="1">
      <alignment/>
      <protection/>
    </xf>
    <xf numFmtId="166" fontId="0" fillId="0" borderId="9" xfId="0" applyNumberFormat="1" applyBorder="1" applyAlignment="1" applyProtection="1">
      <alignment/>
      <protection/>
    </xf>
    <xf numFmtId="166" fontId="0" fillId="0" borderId="6" xfId="0" applyNumberFormat="1" applyBorder="1" applyAlignment="1" applyProtection="1">
      <alignment/>
      <protection/>
    </xf>
    <xf numFmtId="164" fontId="0" fillId="0" borderId="6" xfId="0" applyBorder="1" applyAlignment="1">
      <alignment/>
    </xf>
    <xf numFmtId="164" fontId="0" fillId="0" borderId="8" xfId="0" applyBorder="1" applyAlignment="1">
      <alignment/>
    </xf>
    <xf numFmtId="164" fontId="0" fillId="0" borderId="12" xfId="0" applyBorder="1" applyAlignment="1">
      <alignment/>
    </xf>
    <xf numFmtId="9" fontId="0" fillId="0" borderId="13" xfId="0" applyNumberFormat="1" applyBorder="1" applyAlignment="1" applyProtection="1">
      <alignment/>
      <protection/>
    </xf>
    <xf numFmtId="165" fontId="0" fillId="0" borderId="13" xfId="0" applyNumberFormat="1" applyBorder="1" applyAlignment="1" applyProtection="1">
      <alignment/>
      <protection/>
    </xf>
    <xf numFmtId="5" fontId="0" fillId="0" borderId="13" xfId="0" applyNumberFormat="1" applyBorder="1" applyAlignment="1" applyProtection="1">
      <alignment/>
      <protection/>
    </xf>
    <xf numFmtId="164" fontId="0" fillId="0" borderId="13" xfId="0" applyBorder="1" applyAlignment="1" applyProtection="1">
      <alignment/>
      <protection/>
    </xf>
    <xf numFmtId="7" fontId="0" fillId="0" borderId="13" xfId="0" applyNumberFormat="1" applyBorder="1" applyAlignment="1" applyProtection="1">
      <alignment/>
      <protection/>
    </xf>
    <xf numFmtId="7" fontId="0" fillId="0" borderId="14" xfId="0" applyNumberFormat="1" applyBorder="1" applyAlignment="1" applyProtection="1">
      <alignment/>
      <protection/>
    </xf>
    <xf numFmtId="164" fontId="0" fillId="0" borderId="7" xfId="0" applyBorder="1" applyAlignment="1">
      <alignment/>
    </xf>
    <xf numFmtId="164" fontId="0" fillId="0" borderId="15" xfId="0" applyBorder="1" applyAlignment="1">
      <alignment/>
    </xf>
    <xf numFmtId="5" fontId="0" fillId="0" borderId="6" xfId="0" applyNumberFormat="1" applyBorder="1" applyAlignment="1" applyProtection="1">
      <alignment/>
      <protection/>
    </xf>
    <xf numFmtId="167" fontId="0" fillId="0" borderId="6" xfId="0" applyNumberForma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9" xfId="0" applyBorder="1" applyAlignment="1" applyProtection="1">
      <alignment/>
      <protection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 applyProtection="1">
      <alignment horizontal="left"/>
      <protection/>
    </xf>
    <xf numFmtId="164" fontId="0" fillId="0" borderId="1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0" fillId="0" borderId="19" xfId="0" applyBorder="1" applyAlignment="1">
      <alignment/>
    </xf>
    <xf numFmtId="164" fontId="0" fillId="0" borderId="18" xfId="0" applyBorder="1" applyAlignment="1">
      <alignment/>
    </xf>
    <xf numFmtId="164" fontId="0" fillId="0" borderId="1" xfId="0" applyBorder="1" applyAlignment="1">
      <alignment/>
    </xf>
    <xf numFmtId="164" fontId="0" fillId="0" borderId="20" xfId="0" applyBorder="1" applyAlignment="1">
      <alignment/>
    </xf>
    <xf numFmtId="164" fontId="0" fillId="0" borderId="18" xfId="0" applyBorder="1" applyAlignment="1" applyProtection="1">
      <alignment horizontal="left"/>
      <protection/>
    </xf>
    <xf numFmtId="164" fontId="5" fillId="0" borderId="0" xfId="0" applyFont="1" applyAlignment="1" applyProtection="1">
      <alignment horizontal="left"/>
      <protection/>
    </xf>
    <xf numFmtId="164" fontId="5" fillId="0" borderId="21" xfId="0" applyFont="1" applyBorder="1" applyAlignment="1" applyProtection="1">
      <alignment horizontal="left"/>
      <protection/>
    </xf>
    <xf numFmtId="164" fontId="5" fillId="0" borderId="10" xfId="0" applyFont="1" applyBorder="1" applyAlignment="1">
      <alignment/>
    </xf>
    <xf numFmtId="164" fontId="5" fillId="0" borderId="6" xfId="0" applyFont="1" applyBorder="1" applyAlignment="1" applyProtection="1">
      <alignment horizontal="left"/>
      <protection/>
    </xf>
    <xf numFmtId="164" fontId="0" fillId="0" borderId="0" xfId="0" applyBorder="1" applyAlignment="1" applyProtection="1">
      <alignment horizontal="center"/>
      <protection/>
    </xf>
    <xf numFmtId="7" fontId="0" fillId="0" borderId="19" xfId="0" applyNumberFormat="1" applyBorder="1" applyAlignment="1" applyProtection="1">
      <alignment/>
      <protection/>
    </xf>
    <xf numFmtId="7" fontId="0" fillId="0" borderId="9" xfId="0" applyNumberFormat="1" applyBorder="1" applyAlignment="1" applyProtection="1">
      <alignment/>
      <protection/>
    </xf>
    <xf numFmtId="5" fontId="0" fillId="0" borderId="18" xfId="0" applyNumberFormat="1" applyBorder="1" applyAlignment="1" applyProtection="1">
      <alignment/>
      <protection/>
    </xf>
    <xf numFmtId="7" fontId="0" fillId="0" borderId="6" xfId="0" applyNumberFormat="1" applyBorder="1" applyAlignment="1" applyProtection="1">
      <alignment/>
      <protection/>
    </xf>
    <xf numFmtId="164" fontId="0" fillId="0" borderId="22" xfId="0" applyBorder="1" applyAlignment="1" applyProtection="1">
      <alignment horizontal="left"/>
      <protection/>
    </xf>
    <xf numFmtId="164" fontId="0" fillId="0" borderId="2" xfId="0" applyBorder="1" applyAlignment="1">
      <alignment/>
    </xf>
    <xf numFmtId="5" fontId="0" fillId="0" borderId="22" xfId="0" applyNumberFormat="1" applyBorder="1" applyAlignment="1" applyProtection="1">
      <alignment/>
      <protection/>
    </xf>
    <xf numFmtId="7" fontId="0" fillId="0" borderId="23" xfId="0" applyNumberFormat="1" applyBorder="1" applyAlignment="1" applyProtection="1">
      <alignment/>
      <protection/>
    </xf>
    <xf numFmtId="164" fontId="0" fillId="0" borderId="3" xfId="0" applyBorder="1" applyAlignment="1" applyProtection="1">
      <alignment horizontal="center"/>
      <protection/>
    </xf>
    <xf numFmtId="7" fontId="0" fillId="0" borderId="24" xfId="0" applyNumberFormat="1" applyBorder="1" applyAlignment="1" applyProtection="1">
      <alignment/>
      <protection/>
    </xf>
    <xf numFmtId="164" fontId="0" fillId="0" borderId="25" xfId="0" applyBorder="1" applyAlignment="1">
      <alignment/>
    </xf>
    <xf numFmtId="7" fontId="0" fillId="0" borderId="18" xfId="0" applyNumberFormat="1" applyBorder="1" applyAlignment="1" applyProtection="1">
      <alignment/>
      <protection/>
    </xf>
    <xf numFmtId="7" fontId="0" fillId="0" borderId="22" xfId="0" applyNumberFormat="1" applyBorder="1" applyAlignment="1" applyProtection="1">
      <alignment/>
      <protection/>
    </xf>
    <xf numFmtId="164" fontId="0" fillId="0" borderId="24" xfId="0" applyBorder="1" applyAlignment="1">
      <alignment/>
    </xf>
    <xf numFmtId="164" fontId="6" fillId="0" borderId="0" xfId="0" applyFont="1" applyAlignment="1">
      <alignment/>
    </xf>
    <xf numFmtId="5" fontId="7" fillId="0" borderId="0" xfId="0" applyNumberFormat="1" applyFont="1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/>
    </xf>
    <xf numFmtId="164" fontId="0" fillId="0" borderId="6" xfId="0" applyBorder="1" applyAlignment="1" applyProtection="1">
      <alignment horizontal="center"/>
      <protection/>
    </xf>
    <xf numFmtId="164" fontId="0" fillId="0" borderId="7" xfId="0" applyBorder="1" applyAlignment="1" applyProtection="1">
      <alignment horizontal="center"/>
      <protection/>
    </xf>
    <xf numFmtId="164" fontId="0" fillId="0" borderId="18" xfId="0" applyBorder="1" applyAlignment="1" applyProtection="1">
      <alignment horizontal="center"/>
      <protection/>
    </xf>
    <xf numFmtId="164" fontId="0" fillId="0" borderId="1" xfId="0" applyBorder="1" applyAlignment="1" applyProtection="1">
      <alignment horizontal="center"/>
      <protection/>
    </xf>
    <xf numFmtId="164" fontId="0" fillId="0" borderId="19" xfId="0" applyBorder="1" applyAlignment="1" applyProtection="1">
      <alignment horizontal="center"/>
      <protection/>
    </xf>
    <xf numFmtId="164" fontId="5" fillId="0" borderId="0" xfId="0" applyFont="1" applyAlignment="1">
      <alignment/>
    </xf>
    <xf numFmtId="164" fontId="5" fillId="0" borderId="21" xfId="0" applyFont="1" applyBorder="1" applyAlignment="1">
      <alignment/>
    </xf>
    <xf numFmtId="164" fontId="9" fillId="0" borderId="0" xfId="0" applyFont="1" applyAlignment="1" applyProtection="1">
      <alignment horizontal="left"/>
      <protection/>
    </xf>
    <xf numFmtId="164" fontId="0" fillId="0" borderId="2" xfId="0" applyBorder="1" applyAlignment="1" applyProtection="1">
      <alignment horizontal="left"/>
      <protection/>
    </xf>
    <xf numFmtId="7" fontId="0" fillId="0" borderId="16" xfId="0" applyNumberFormat="1" applyBorder="1" applyAlignment="1" applyProtection="1">
      <alignment/>
      <protection/>
    </xf>
    <xf numFmtId="7" fontId="0" fillId="0" borderId="17" xfId="0" applyNumberFormat="1" applyBorder="1" applyAlignment="1" applyProtection="1">
      <alignment/>
      <protection/>
    </xf>
    <xf numFmtId="5" fontId="0" fillId="0" borderId="19" xfId="0" applyNumberFormat="1" applyBorder="1" applyAlignment="1" applyProtection="1">
      <alignment/>
      <protection/>
    </xf>
    <xf numFmtId="5" fontId="0" fillId="0" borderId="23" xfId="0" applyNumberFormat="1" applyBorder="1" applyAlignment="1" applyProtection="1">
      <alignment/>
      <protection/>
    </xf>
    <xf numFmtId="164" fontId="0" fillId="0" borderId="8" xfId="0" applyBorder="1" applyAlignment="1" applyProtection="1">
      <alignment horizontal="center"/>
      <protection/>
    </xf>
    <xf numFmtId="164" fontId="0" fillId="0" borderId="9" xfId="0" applyBorder="1" applyAlignment="1" applyProtection="1">
      <alignment horizontal="center"/>
      <protection/>
    </xf>
    <xf numFmtId="168" fontId="0" fillId="0" borderId="8" xfId="0" applyNumberFormat="1" applyBorder="1" applyAlignment="1" applyProtection="1">
      <alignment horizontal="center"/>
      <protection/>
    </xf>
    <xf numFmtId="168" fontId="0" fillId="0" borderId="9" xfId="0" applyNumberFormat="1" applyBorder="1" applyAlignment="1" applyProtection="1">
      <alignment horizontal="center"/>
      <protection/>
    </xf>
    <xf numFmtId="168" fontId="0" fillId="0" borderId="15" xfId="0" applyNumberFormat="1" applyBorder="1" applyAlignment="1" applyProtection="1">
      <alignment horizontal="center"/>
      <protection/>
    </xf>
    <xf numFmtId="164" fontId="0" fillId="0" borderId="15" xfId="0" applyBorder="1" applyAlignment="1" applyProtection="1">
      <alignment horizontal="center"/>
      <protection/>
    </xf>
    <xf numFmtId="164" fontId="0" fillId="0" borderId="19" xfId="0" applyBorder="1" applyAlignment="1">
      <alignment horizontal="center"/>
    </xf>
    <xf numFmtId="164" fontId="5" fillId="0" borderId="0" xfId="0" applyFont="1" applyAlignment="1" applyProtection="1">
      <alignment horizontal="right"/>
      <protection/>
    </xf>
    <xf numFmtId="5" fontId="0" fillId="0" borderId="0" xfId="0" applyNumberFormat="1" applyFont="1" applyBorder="1" applyAlignment="1" applyProtection="1">
      <alignment/>
      <protection/>
    </xf>
    <xf numFmtId="7" fontId="0" fillId="0" borderId="8" xfId="0" applyNumberFormat="1" applyBorder="1" applyAlignment="1" applyProtection="1">
      <alignment/>
      <protection/>
    </xf>
    <xf numFmtId="7" fontId="0" fillId="0" borderId="15" xfId="0" applyNumberFormat="1" applyBorder="1" applyAlignment="1" applyProtection="1">
      <alignment/>
      <protection/>
    </xf>
    <xf numFmtId="164" fontId="0" fillId="0" borderId="24" xfId="0" applyBorder="1" applyAlignment="1" applyProtection="1">
      <alignment horizontal="left"/>
      <protection/>
    </xf>
    <xf numFmtId="7" fontId="0" fillId="0" borderId="3" xfId="0" applyNumberFormat="1" applyBorder="1" applyAlignment="1" applyProtection="1">
      <alignment/>
      <protection/>
    </xf>
    <xf numFmtId="164" fontId="0" fillId="0" borderId="24" xfId="0" applyBorder="1" applyAlignment="1" applyProtection="1">
      <alignment horizontal="center"/>
      <protection/>
    </xf>
    <xf numFmtId="168" fontId="0" fillId="0" borderId="24" xfId="0" applyNumberFormat="1" applyBorder="1" applyAlignment="1" applyProtection="1">
      <alignment horizontal="center"/>
      <protection/>
    </xf>
    <xf numFmtId="168" fontId="0" fillId="0" borderId="3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>
      <alignment horizontal="center"/>
      <protection/>
    </xf>
    <xf numFmtId="5" fontId="0" fillId="0" borderId="26" xfId="0" applyNumberFormat="1" applyBorder="1" applyAlignment="1" applyProtection="1">
      <alignment/>
      <protection/>
    </xf>
    <xf numFmtId="164" fontId="0" fillId="0" borderId="27" xfId="0" applyBorder="1" applyAlignment="1" applyProtection="1">
      <alignment horizontal="left"/>
      <protection/>
    </xf>
    <xf numFmtId="164" fontId="0" fillId="0" borderId="28" xfId="0" applyBorder="1" applyAlignment="1">
      <alignment/>
    </xf>
    <xf numFmtId="168" fontId="0" fillId="0" borderId="6" xfId="0" applyNumberFormat="1" applyBorder="1" applyAlignment="1" applyProtection="1">
      <alignment horizontal="center"/>
      <protection/>
    </xf>
    <xf numFmtId="164" fontId="0" fillId="0" borderId="7" xfId="0" applyBorder="1" applyAlignment="1">
      <alignment horizontal="center"/>
    </xf>
    <xf numFmtId="164" fontId="0" fillId="0" borderId="26" xfId="0" applyBorder="1" applyAlignment="1">
      <alignment/>
    </xf>
    <xf numFmtId="5" fontId="0" fillId="0" borderId="29" xfId="0" applyNumberFormat="1" applyBorder="1" applyAlignment="1" applyProtection="1">
      <alignment/>
      <protection/>
    </xf>
    <xf numFmtId="164" fontId="0" fillId="0" borderId="30" xfId="0" applyBorder="1" applyAlignment="1" applyProtection="1">
      <alignment horizontal="left"/>
      <protection/>
    </xf>
    <xf numFmtId="164" fontId="5" fillId="0" borderId="8" xfId="0" applyFont="1" applyBorder="1" applyAlignment="1">
      <alignment/>
    </xf>
    <xf numFmtId="164" fontId="0" fillId="0" borderId="31" xfId="0" applyBorder="1" applyAlignment="1">
      <alignment/>
    </xf>
    <xf numFmtId="164" fontId="0" fillId="0" borderId="32" xfId="0" applyBorder="1" applyAlignment="1">
      <alignment horizontal="center"/>
    </xf>
    <xf numFmtId="164" fontId="0" fillId="0" borderId="33" xfId="0" applyBorder="1" applyAlignment="1">
      <alignment horizontal="center"/>
    </xf>
    <xf numFmtId="164" fontId="0" fillId="0" borderId="34" xfId="0" applyBorder="1" applyAlignment="1">
      <alignment horizontal="center"/>
    </xf>
    <xf numFmtId="164" fontId="0" fillId="0" borderId="35" xfId="0" applyBorder="1" applyAlignment="1" applyProtection="1">
      <alignment horizontal="left"/>
      <protection/>
    </xf>
    <xf numFmtId="164" fontId="0" fillId="0" borderId="36" xfId="0" applyBorder="1" applyAlignment="1">
      <alignment/>
    </xf>
    <xf numFmtId="164" fontId="0" fillId="0" borderId="37" xfId="0" applyBorder="1" applyAlignment="1">
      <alignment horizontal="center"/>
    </xf>
    <xf numFmtId="5" fontId="0" fillId="0" borderId="38" xfId="0" applyNumberFormat="1" applyBorder="1" applyAlignment="1" applyProtection="1">
      <alignment/>
      <protection/>
    </xf>
    <xf numFmtId="164" fontId="6" fillId="0" borderId="6" xfId="0" applyFont="1" applyBorder="1" applyAlignment="1">
      <alignment/>
    </xf>
    <xf numFmtId="164" fontId="0" fillId="0" borderId="9" xfId="0" applyBorder="1" applyAlignment="1" applyProtection="1">
      <alignment horizontal="left"/>
      <protection/>
    </xf>
    <xf numFmtId="7" fontId="0" fillId="0" borderId="11" xfId="0" applyNumberFormat="1" applyBorder="1" applyAlignment="1" applyProtection="1">
      <alignment/>
      <protection/>
    </xf>
    <xf numFmtId="164" fontId="5" fillId="0" borderId="16" xfId="0" applyFont="1" applyBorder="1" applyAlignment="1">
      <alignment horizontal="center"/>
    </xf>
    <xf numFmtId="164" fontId="5" fillId="0" borderId="17" xfId="0" applyFont="1" applyBorder="1" applyAlignment="1">
      <alignment horizontal="center"/>
    </xf>
    <xf numFmtId="5" fontId="0" fillId="0" borderId="30" xfId="0" applyNumberFormat="1" applyBorder="1" applyAlignment="1" applyProtection="1">
      <alignment horizontal="center"/>
      <protection/>
    </xf>
    <xf numFmtId="5" fontId="0" fillId="0" borderId="26" xfId="0" applyNumberFormat="1" applyBorder="1" applyAlignment="1" applyProtection="1">
      <alignment horizontal="center"/>
      <protection/>
    </xf>
    <xf numFmtId="5" fontId="0" fillId="0" borderId="29" xfId="0" applyNumberFormat="1" applyBorder="1" applyAlignment="1" applyProtection="1">
      <alignment horizontal="center"/>
      <protection/>
    </xf>
    <xf numFmtId="8" fontId="0" fillId="0" borderId="8" xfId="17" applyFont="1" applyBorder="1" applyAlignment="1">
      <alignment horizontal="center"/>
    </xf>
    <xf numFmtId="8" fontId="0" fillId="0" borderId="9" xfId="17" applyFont="1" applyBorder="1" applyAlignment="1">
      <alignment horizontal="center"/>
    </xf>
    <xf numFmtId="8" fontId="0" fillId="0" borderId="15" xfId="17" applyFont="1" applyBorder="1" applyAlignment="1">
      <alignment horizontal="center"/>
    </xf>
    <xf numFmtId="164" fontId="0" fillId="0" borderId="10" xfId="0" applyBorder="1" applyAlignment="1" applyProtection="1">
      <alignment horizontal="center"/>
      <protection/>
    </xf>
    <xf numFmtId="164" fontId="0" fillId="0" borderId="11" xfId="0" applyBorder="1" applyAlignment="1" applyProtection="1">
      <alignment horizontal="center"/>
      <protection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25" xfId="0" applyBorder="1" applyAlignment="1">
      <alignment horizontal="center"/>
    </xf>
    <xf numFmtId="5" fontId="0" fillId="0" borderId="39" xfId="0" applyNumberFormat="1" applyBorder="1" applyAlignment="1" applyProtection="1">
      <alignment horizontal="center"/>
      <protection/>
    </xf>
    <xf numFmtId="5" fontId="0" fillId="0" borderId="40" xfId="0" applyNumberFormat="1" applyBorder="1" applyAlignment="1" applyProtection="1">
      <alignment horizontal="center"/>
      <protection/>
    </xf>
    <xf numFmtId="8" fontId="0" fillId="0" borderId="8" xfId="17" applyBorder="1" applyAlignment="1">
      <alignment horizontal="center"/>
    </xf>
    <xf numFmtId="8" fontId="0" fillId="0" borderId="15" xfId="17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Milliers [0]_AR1194" xfId="19"/>
    <cellStyle name="Milliers_AR1194" xfId="20"/>
    <cellStyle name="Monétaire [0]_AR1194" xfId="21"/>
    <cellStyle name="Monétaire_AR1194" xfId="22"/>
    <cellStyle name="Œ…‹æØ‚è [0.00]_laroux" xfId="23"/>
    <cellStyle name="Œ…‹æØ‚è_laroux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91</xdr:row>
      <xdr:rowOff>114300</xdr:rowOff>
    </xdr:from>
    <xdr:to>
      <xdr:col>1</xdr:col>
      <xdr:colOff>476250</xdr:colOff>
      <xdr:row>92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457325" y="15468600"/>
          <a:ext cx="733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dbl" baseline="0">
              <a:latin typeface="Helvetica"/>
              <a:ea typeface="Helvetica"/>
              <a:cs typeface="Helvetica"/>
            </a:rPr>
            <a:t> A 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for n-1
</a:t>
          </a:r>
        </a:p>
      </xdr:txBody>
    </xdr:sp>
    <xdr:clientData/>
  </xdr:twoCellAnchor>
  <xdr:twoCellAnchor>
    <xdr:from>
      <xdr:col>1</xdr:col>
      <xdr:colOff>95250</xdr:colOff>
      <xdr:row>93</xdr:row>
      <xdr:rowOff>19050</xdr:rowOff>
    </xdr:from>
    <xdr:to>
      <xdr:col>2</xdr:col>
      <xdr:colOff>485775</xdr:colOff>
      <xdr:row>93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809750" y="1569720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38100</xdr:rowOff>
    </xdr:from>
    <xdr:to>
      <xdr:col>2</xdr:col>
      <xdr:colOff>485775</xdr:colOff>
      <xdr:row>93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800350" y="15554325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91</xdr:row>
      <xdr:rowOff>114300</xdr:rowOff>
    </xdr:from>
    <xdr:to>
      <xdr:col>0</xdr:col>
      <xdr:colOff>1333500</xdr:colOff>
      <xdr:row>92</xdr:row>
      <xdr:rowOff>123825</xdr:rowOff>
    </xdr:to>
    <xdr:sp>
      <xdr:nvSpPr>
        <xdr:cNvPr id="4" name="Text 6"/>
        <xdr:cNvSpPr txBox="1">
          <a:spLocks noChangeArrowheads="1"/>
        </xdr:cNvSpPr>
      </xdr:nvSpPr>
      <xdr:spPr>
        <a:xfrm>
          <a:off x="628650" y="15468600"/>
          <a:ext cx="704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dbl" baseline="0">
              <a:latin typeface="Helvetica"/>
              <a:ea typeface="Helvetica"/>
              <a:cs typeface="Helvetica"/>
            </a:rPr>
            <a:t> A 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/P,i,n-1</a:t>
          </a:r>
        </a:p>
      </xdr:txBody>
    </xdr:sp>
    <xdr:clientData/>
  </xdr:twoCellAnchor>
  <xdr:twoCellAnchor>
    <xdr:from>
      <xdr:col>5</xdr:col>
      <xdr:colOff>590550</xdr:colOff>
      <xdr:row>91</xdr:row>
      <xdr:rowOff>104775</xdr:rowOff>
    </xdr:from>
    <xdr:to>
      <xdr:col>6</xdr:col>
      <xdr:colOff>590550</xdr:colOff>
      <xdr:row>92</xdr:row>
      <xdr:rowOff>114300</xdr:rowOff>
    </xdr:to>
    <xdr:sp>
      <xdr:nvSpPr>
        <xdr:cNvPr id="5" name="Text 10"/>
        <xdr:cNvSpPr txBox="1">
          <a:spLocks noChangeArrowheads="1"/>
        </xdr:cNvSpPr>
      </xdr:nvSpPr>
      <xdr:spPr>
        <a:xfrm>
          <a:off x="4743450" y="15459075"/>
          <a:ext cx="609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dbl" baseline="0">
              <a:latin typeface="Helvetica"/>
              <a:ea typeface="Helvetica"/>
              <a:cs typeface="Helvetica"/>
            </a:rPr>
            <a:t> A 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/P,i,n
</a:t>
          </a:r>
        </a:p>
      </xdr:txBody>
    </xdr:sp>
    <xdr:clientData/>
  </xdr:twoCellAnchor>
  <xdr:twoCellAnchor>
    <xdr:from>
      <xdr:col>7</xdr:col>
      <xdr:colOff>95250</xdr:colOff>
      <xdr:row>91</xdr:row>
      <xdr:rowOff>114300</xdr:rowOff>
    </xdr:from>
    <xdr:to>
      <xdr:col>8</xdr:col>
      <xdr:colOff>314325</xdr:colOff>
      <xdr:row>92</xdr:row>
      <xdr:rowOff>104775</xdr:rowOff>
    </xdr:to>
    <xdr:sp>
      <xdr:nvSpPr>
        <xdr:cNvPr id="6" name="Text 11"/>
        <xdr:cNvSpPr txBox="1">
          <a:spLocks noChangeArrowheads="1"/>
        </xdr:cNvSpPr>
      </xdr:nvSpPr>
      <xdr:spPr>
        <a:xfrm>
          <a:off x="5486400" y="15468600"/>
          <a:ext cx="8477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Helvetica"/>
              <a:ea typeface="Helvetica"/>
              <a:cs typeface="Helvetica"/>
            </a:rPr>
            <a:t>hours / year
</a:t>
          </a:r>
        </a:p>
      </xdr:txBody>
    </xdr:sp>
    <xdr:clientData/>
  </xdr:twoCellAnchor>
  <xdr:twoCellAnchor>
    <xdr:from>
      <xdr:col>8</xdr:col>
      <xdr:colOff>438150</xdr:colOff>
      <xdr:row>91</xdr:row>
      <xdr:rowOff>95250</xdr:rowOff>
    </xdr:from>
    <xdr:to>
      <xdr:col>10</xdr:col>
      <xdr:colOff>114300</xdr:colOff>
      <xdr:row>92</xdr:row>
      <xdr:rowOff>104775</xdr:rowOff>
    </xdr:to>
    <xdr:sp>
      <xdr:nvSpPr>
        <xdr:cNvPr id="7" name="Text 12"/>
        <xdr:cNvSpPr txBox="1">
          <a:spLocks noChangeArrowheads="1"/>
        </xdr:cNvSpPr>
      </xdr:nvSpPr>
      <xdr:spPr>
        <a:xfrm>
          <a:off x="6457950" y="15449550"/>
          <a:ext cx="781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Helvetica"/>
              <a:ea typeface="Helvetica"/>
              <a:cs typeface="Helvetica"/>
            </a:rPr>
            <a:t>P/F or P/</a:t>
          </a:r>
          <a:r>
            <a:rPr lang="en-US" cap="none" sz="1000" b="0" i="0" u="dbl" baseline="0">
              <a:latin typeface="Helvetica"/>
              <a:ea typeface="Helvetica"/>
              <a:cs typeface="Helvetica"/>
            </a:rPr>
            <a:t> F 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5</xdr:col>
      <xdr:colOff>47625</xdr:colOff>
      <xdr:row>93</xdr:row>
      <xdr:rowOff>85725</xdr:rowOff>
    </xdr:from>
    <xdr:to>
      <xdr:col>6</xdr:col>
      <xdr:colOff>285750</xdr:colOff>
      <xdr:row>93</xdr:row>
      <xdr:rowOff>85725</xdr:rowOff>
    </xdr:to>
    <xdr:sp>
      <xdr:nvSpPr>
        <xdr:cNvPr id="8" name="Line 11"/>
        <xdr:cNvSpPr>
          <a:spLocks/>
        </xdr:cNvSpPr>
      </xdr:nvSpPr>
      <xdr:spPr>
        <a:xfrm flipH="1">
          <a:off x="4200525" y="1576387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342900</xdr:colOff>
      <xdr:row>93</xdr:row>
      <xdr:rowOff>114300</xdr:rowOff>
    </xdr:from>
    <xdr:to>
      <xdr:col>7</xdr:col>
      <xdr:colOff>485775</xdr:colOff>
      <xdr:row>93</xdr:row>
      <xdr:rowOff>114300</xdr:rowOff>
    </xdr:to>
    <xdr:sp>
      <xdr:nvSpPr>
        <xdr:cNvPr id="9" name="Line 12"/>
        <xdr:cNvSpPr>
          <a:spLocks/>
        </xdr:cNvSpPr>
      </xdr:nvSpPr>
      <xdr:spPr>
        <a:xfrm flipH="1">
          <a:off x="3886200" y="15792450"/>
          <a:ext cx="199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114300</xdr:colOff>
      <xdr:row>93</xdr:row>
      <xdr:rowOff>142875</xdr:rowOff>
    </xdr:from>
    <xdr:to>
      <xdr:col>9</xdr:col>
      <xdr:colOff>266700</xdr:colOff>
      <xdr:row>93</xdr:row>
      <xdr:rowOff>142875</xdr:rowOff>
    </xdr:to>
    <xdr:sp>
      <xdr:nvSpPr>
        <xdr:cNvPr id="10" name="Line 13"/>
        <xdr:cNvSpPr>
          <a:spLocks/>
        </xdr:cNvSpPr>
      </xdr:nvSpPr>
      <xdr:spPr>
        <a:xfrm flipH="1">
          <a:off x="3657600" y="15821025"/>
          <a:ext cx="3181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92</xdr:row>
      <xdr:rowOff>133350</xdr:rowOff>
    </xdr:from>
    <xdr:to>
      <xdr:col>5</xdr:col>
      <xdr:colOff>47625</xdr:colOff>
      <xdr:row>93</xdr:row>
      <xdr:rowOff>85725</xdr:rowOff>
    </xdr:to>
    <xdr:sp>
      <xdr:nvSpPr>
        <xdr:cNvPr id="11" name="Line 14"/>
        <xdr:cNvSpPr>
          <a:spLocks/>
        </xdr:cNvSpPr>
      </xdr:nvSpPr>
      <xdr:spPr>
        <a:xfrm flipV="1">
          <a:off x="4200525" y="156495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342900</xdr:colOff>
      <xdr:row>92</xdr:row>
      <xdr:rowOff>133350</xdr:rowOff>
    </xdr:from>
    <xdr:to>
      <xdr:col>4</xdr:col>
      <xdr:colOff>342900</xdr:colOff>
      <xdr:row>93</xdr:row>
      <xdr:rowOff>104775</xdr:rowOff>
    </xdr:to>
    <xdr:sp>
      <xdr:nvSpPr>
        <xdr:cNvPr id="12" name="Line 15"/>
        <xdr:cNvSpPr>
          <a:spLocks/>
        </xdr:cNvSpPr>
      </xdr:nvSpPr>
      <xdr:spPr>
        <a:xfrm flipV="1">
          <a:off x="3886200" y="1564957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114300</xdr:colOff>
      <xdr:row>92</xdr:row>
      <xdr:rowOff>133350</xdr:rowOff>
    </xdr:from>
    <xdr:to>
      <xdr:col>4</xdr:col>
      <xdr:colOff>114300</xdr:colOff>
      <xdr:row>93</xdr:row>
      <xdr:rowOff>142875</xdr:rowOff>
    </xdr:to>
    <xdr:sp>
      <xdr:nvSpPr>
        <xdr:cNvPr id="13" name="Line 16"/>
        <xdr:cNvSpPr>
          <a:spLocks/>
        </xdr:cNvSpPr>
      </xdr:nvSpPr>
      <xdr:spPr>
        <a:xfrm flipV="1">
          <a:off x="3657600" y="15649575"/>
          <a:ext cx="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95250</xdr:colOff>
      <xdr:row>92</xdr:row>
      <xdr:rowOff>133350</xdr:rowOff>
    </xdr:from>
    <xdr:to>
      <xdr:col>1</xdr:col>
      <xdr:colOff>95250</xdr:colOff>
      <xdr:row>93</xdr:row>
      <xdr:rowOff>19050</xdr:rowOff>
    </xdr:to>
    <xdr:sp>
      <xdr:nvSpPr>
        <xdr:cNvPr id="14" name="Line 44"/>
        <xdr:cNvSpPr>
          <a:spLocks/>
        </xdr:cNvSpPr>
      </xdr:nvSpPr>
      <xdr:spPr>
        <a:xfrm flipV="1">
          <a:off x="1809750" y="156495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1000125</xdr:colOff>
      <xdr:row>93</xdr:row>
      <xdr:rowOff>85725</xdr:rowOff>
    </xdr:from>
    <xdr:to>
      <xdr:col>3</xdr:col>
      <xdr:colOff>133350</xdr:colOff>
      <xdr:row>93</xdr:row>
      <xdr:rowOff>85725</xdr:rowOff>
    </xdr:to>
    <xdr:sp>
      <xdr:nvSpPr>
        <xdr:cNvPr id="15" name="Line 45"/>
        <xdr:cNvSpPr>
          <a:spLocks/>
        </xdr:cNvSpPr>
      </xdr:nvSpPr>
      <xdr:spPr>
        <a:xfrm>
          <a:off x="1000125" y="15763875"/>
          <a:ext cx="2066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133350</xdr:colOff>
      <xdr:row>92</xdr:row>
      <xdr:rowOff>38100</xdr:rowOff>
    </xdr:from>
    <xdr:to>
      <xdr:col>3</xdr:col>
      <xdr:colOff>133350</xdr:colOff>
      <xdr:row>93</xdr:row>
      <xdr:rowOff>85725</xdr:rowOff>
    </xdr:to>
    <xdr:sp>
      <xdr:nvSpPr>
        <xdr:cNvPr id="16" name="Line 46"/>
        <xdr:cNvSpPr>
          <a:spLocks/>
        </xdr:cNvSpPr>
      </xdr:nvSpPr>
      <xdr:spPr>
        <a:xfrm flipV="1">
          <a:off x="3067050" y="15554325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1009650</xdr:colOff>
      <xdr:row>92</xdr:row>
      <xdr:rowOff>133350</xdr:rowOff>
    </xdr:from>
    <xdr:to>
      <xdr:col>0</xdr:col>
      <xdr:colOff>1009650</xdr:colOff>
      <xdr:row>93</xdr:row>
      <xdr:rowOff>85725</xdr:rowOff>
    </xdr:to>
    <xdr:sp>
      <xdr:nvSpPr>
        <xdr:cNvPr id="17" name="Line 47"/>
        <xdr:cNvSpPr>
          <a:spLocks/>
        </xdr:cNvSpPr>
      </xdr:nvSpPr>
      <xdr:spPr>
        <a:xfrm flipV="1">
          <a:off x="1009650" y="156495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285750</xdr:colOff>
      <xdr:row>92</xdr:row>
      <xdr:rowOff>114300</xdr:rowOff>
    </xdr:from>
    <xdr:to>
      <xdr:col>6</xdr:col>
      <xdr:colOff>285750</xdr:colOff>
      <xdr:row>93</xdr:row>
      <xdr:rowOff>85725</xdr:rowOff>
    </xdr:to>
    <xdr:sp>
      <xdr:nvSpPr>
        <xdr:cNvPr id="18" name="Line 51"/>
        <xdr:cNvSpPr>
          <a:spLocks/>
        </xdr:cNvSpPr>
      </xdr:nvSpPr>
      <xdr:spPr>
        <a:xfrm>
          <a:off x="5048250" y="1563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495300</xdr:colOff>
      <xdr:row>92</xdr:row>
      <xdr:rowOff>104775</xdr:rowOff>
    </xdr:from>
    <xdr:to>
      <xdr:col>7</xdr:col>
      <xdr:colOff>495300</xdr:colOff>
      <xdr:row>93</xdr:row>
      <xdr:rowOff>104775</xdr:rowOff>
    </xdr:to>
    <xdr:sp>
      <xdr:nvSpPr>
        <xdr:cNvPr id="19" name="Line 52"/>
        <xdr:cNvSpPr>
          <a:spLocks/>
        </xdr:cNvSpPr>
      </xdr:nvSpPr>
      <xdr:spPr>
        <a:xfrm>
          <a:off x="5886450" y="15621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276225</xdr:colOff>
      <xdr:row>92</xdr:row>
      <xdr:rowOff>114300</xdr:rowOff>
    </xdr:from>
    <xdr:to>
      <xdr:col>9</xdr:col>
      <xdr:colOff>276225</xdr:colOff>
      <xdr:row>93</xdr:row>
      <xdr:rowOff>152400</xdr:rowOff>
    </xdr:to>
    <xdr:sp>
      <xdr:nvSpPr>
        <xdr:cNvPr id="20" name="Line 53"/>
        <xdr:cNvSpPr>
          <a:spLocks/>
        </xdr:cNvSpPr>
      </xdr:nvSpPr>
      <xdr:spPr>
        <a:xfrm>
          <a:off x="6848475" y="15630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92</xdr:row>
      <xdr:rowOff>0</xdr:rowOff>
    </xdr:from>
    <xdr:to>
      <xdr:col>2</xdr:col>
      <xdr:colOff>180975</xdr:colOff>
      <xdr:row>93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762125" y="15059025"/>
          <a:ext cx="733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dbl" baseline="0">
              <a:latin typeface="Helvetica"/>
              <a:ea typeface="Helvetica"/>
              <a:cs typeface="Helvetica"/>
            </a:rPr>
            <a:t> A 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for n-1
</a:t>
          </a:r>
        </a:p>
      </xdr:txBody>
    </xdr:sp>
    <xdr:clientData/>
  </xdr:twoCellAnchor>
  <xdr:twoCellAnchor>
    <xdr:from>
      <xdr:col>2</xdr:col>
      <xdr:colOff>190500</xdr:colOff>
      <xdr:row>92</xdr:row>
      <xdr:rowOff>85725</xdr:rowOff>
    </xdr:from>
    <xdr:to>
      <xdr:col>2</xdr:col>
      <xdr:colOff>485775</xdr:colOff>
      <xdr:row>92</xdr:row>
      <xdr:rowOff>85725</xdr:rowOff>
    </xdr:to>
    <xdr:sp>
      <xdr:nvSpPr>
        <xdr:cNvPr id="2" name="Line 2"/>
        <xdr:cNvSpPr>
          <a:spLocks/>
        </xdr:cNvSpPr>
      </xdr:nvSpPr>
      <xdr:spPr>
        <a:xfrm>
          <a:off x="2505075" y="1514475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485775</xdr:colOff>
      <xdr:row>91</xdr:row>
      <xdr:rowOff>38100</xdr:rowOff>
    </xdr:from>
    <xdr:to>
      <xdr:col>2</xdr:col>
      <xdr:colOff>485775</xdr:colOff>
      <xdr:row>92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2800350" y="14935200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133350</xdr:colOff>
      <xdr:row>93</xdr:row>
      <xdr:rowOff>38100</xdr:rowOff>
    </xdr:from>
    <xdr:to>
      <xdr:col>2</xdr:col>
      <xdr:colOff>238125</xdr:colOff>
      <xdr:row>94</xdr:row>
      <xdr:rowOff>47625</xdr:rowOff>
    </xdr:to>
    <xdr:sp>
      <xdr:nvSpPr>
        <xdr:cNvPr id="4" name="Text 6"/>
        <xdr:cNvSpPr txBox="1">
          <a:spLocks noChangeArrowheads="1"/>
        </xdr:cNvSpPr>
      </xdr:nvSpPr>
      <xdr:spPr>
        <a:xfrm>
          <a:off x="1847850" y="15259050"/>
          <a:ext cx="704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dbl" baseline="0">
              <a:latin typeface="Helvetica"/>
              <a:ea typeface="Helvetica"/>
              <a:cs typeface="Helvetica"/>
            </a:rPr>
            <a:t> A 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/P,i,n-1</a:t>
          </a:r>
        </a:p>
      </xdr:txBody>
    </xdr:sp>
    <xdr:clientData/>
  </xdr:twoCellAnchor>
  <xdr:twoCellAnchor>
    <xdr:from>
      <xdr:col>2</xdr:col>
      <xdr:colOff>247650</xdr:colOff>
      <xdr:row>93</xdr:row>
      <xdr:rowOff>95250</xdr:rowOff>
    </xdr:from>
    <xdr:to>
      <xdr:col>3</xdr:col>
      <xdr:colOff>95250</xdr:colOff>
      <xdr:row>93</xdr:row>
      <xdr:rowOff>95250</xdr:rowOff>
    </xdr:to>
    <xdr:sp>
      <xdr:nvSpPr>
        <xdr:cNvPr id="5" name="Line 5"/>
        <xdr:cNvSpPr>
          <a:spLocks/>
        </xdr:cNvSpPr>
      </xdr:nvSpPr>
      <xdr:spPr>
        <a:xfrm>
          <a:off x="2562225" y="153162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104775</xdr:colOff>
      <xdr:row>91</xdr:row>
      <xdr:rowOff>28575</xdr:rowOff>
    </xdr:from>
    <xdr:to>
      <xdr:col>3</xdr:col>
      <xdr:colOff>104775</xdr:colOff>
      <xdr:row>93</xdr:row>
      <xdr:rowOff>95250</xdr:rowOff>
    </xdr:to>
    <xdr:sp>
      <xdr:nvSpPr>
        <xdr:cNvPr id="6" name="Line 6"/>
        <xdr:cNvSpPr>
          <a:spLocks/>
        </xdr:cNvSpPr>
      </xdr:nvSpPr>
      <xdr:spPr>
        <a:xfrm flipV="1">
          <a:off x="3038475" y="14925675"/>
          <a:ext cx="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92</xdr:row>
      <xdr:rowOff>66675</xdr:rowOff>
    </xdr:from>
    <xdr:to>
      <xdr:col>5</xdr:col>
      <xdr:colOff>600075</xdr:colOff>
      <xdr:row>92</xdr:row>
      <xdr:rowOff>76200</xdr:rowOff>
    </xdr:to>
    <xdr:sp>
      <xdr:nvSpPr>
        <xdr:cNvPr id="7" name="Text 9"/>
        <xdr:cNvSpPr txBox="1">
          <a:spLocks noChangeArrowheads="1"/>
        </xdr:cNvSpPr>
      </xdr:nvSpPr>
      <xdr:spPr>
        <a:xfrm>
          <a:off x="4752975" y="15125700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590550</xdr:colOff>
      <xdr:row>92</xdr:row>
      <xdr:rowOff>28575</xdr:rowOff>
    </xdr:from>
    <xdr:to>
      <xdr:col>6</xdr:col>
      <xdr:colOff>590550</xdr:colOff>
      <xdr:row>93</xdr:row>
      <xdr:rowOff>38100</xdr:rowOff>
    </xdr:to>
    <xdr:sp>
      <xdr:nvSpPr>
        <xdr:cNvPr id="8" name="Text 10"/>
        <xdr:cNvSpPr txBox="1">
          <a:spLocks noChangeArrowheads="1"/>
        </xdr:cNvSpPr>
      </xdr:nvSpPr>
      <xdr:spPr>
        <a:xfrm>
          <a:off x="4743450" y="15087600"/>
          <a:ext cx="609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dbl" baseline="0">
              <a:latin typeface="Helvetica"/>
              <a:ea typeface="Helvetica"/>
              <a:cs typeface="Helvetica"/>
            </a:rPr>
            <a:t> A 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/P,i,n
</a:t>
          </a:r>
        </a:p>
      </xdr:txBody>
    </xdr:sp>
    <xdr:clientData/>
  </xdr:twoCellAnchor>
  <xdr:twoCellAnchor>
    <xdr:from>
      <xdr:col>5</xdr:col>
      <xdr:colOff>390525</xdr:colOff>
      <xdr:row>93</xdr:row>
      <xdr:rowOff>66675</xdr:rowOff>
    </xdr:from>
    <xdr:to>
      <xdr:col>6</xdr:col>
      <xdr:colOff>552450</xdr:colOff>
      <xdr:row>94</xdr:row>
      <xdr:rowOff>57150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543425" y="15287625"/>
          <a:ext cx="771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Helvetica"/>
              <a:ea typeface="Helvetica"/>
              <a:cs typeface="Helvetica"/>
            </a:rPr>
            <a:t>hours / year
</a:t>
          </a:r>
        </a:p>
      </xdr:txBody>
    </xdr:sp>
    <xdr:clientData/>
  </xdr:twoCellAnchor>
  <xdr:twoCellAnchor>
    <xdr:from>
      <xdr:col>5</xdr:col>
      <xdr:colOff>190500</xdr:colOff>
      <xdr:row>94</xdr:row>
      <xdr:rowOff>85725</xdr:rowOff>
    </xdr:from>
    <xdr:to>
      <xdr:col>6</xdr:col>
      <xdr:colOff>361950</xdr:colOff>
      <xdr:row>95</xdr:row>
      <xdr:rowOff>95250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4343400" y="15468600"/>
          <a:ext cx="781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Helvetica"/>
              <a:ea typeface="Helvetica"/>
              <a:cs typeface="Helvetica"/>
            </a:rPr>
            <a:t>P/F or P/</a:t>
          </a:r>
          <a:r>
            <a:rPr lang="en-US" cap="none" sz="1000" b="0" i="0" u="dbl" baseline="0">
              <a:latin typeface="Helvetica"/>
              <a:ea typeface="Helvetica"/>
              <a:cs typeface="Helvetica"/>
            </a:rPr>
            <a:t> F 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5</xdr:col>
      <xdr:colOff>47625</xdr:colOff>
      <xdr:row>92</xdr:row>
      <xdr:rowOff>142875</xdr:rowOff>
    </xdr:from>
    <xdr:to>
      <xdr:col>5</xdr:col>
      <xdr:colOff>581025</xdr:colOff>
      <xdr:row>92</xdr:row>
      <xdr:rowOff>142875</xdr:rowOff>
    </xdr:to>
    <xdr:sp>
      <xdr:nvSpPr>
        <xdr:cNvPr id="11" name="Line 11"/>
        <xdr:cNvSpPr>
          <a:spLocks/>
        </xdr:cNvSpPr>
      </xdr:nvSpPr>
      <xdr:spPr>
        <a:xfrm flipH="1">
          <a:off x="4200525" y="15201900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342900</xdr:colOff>
      <xdr:row>93</xdr:row>
      <xdr:rowOff>142875</xdr:rowOff>
    </xdr:from>
    <xdr:to>
      <xdr:col>5</xdr:col>
      <xdr:colOff>390525</xdr:colOff>
      <xdr:row>93</xdr:row>
      <xdr:rowOff>142875</xdr:rowOff>
    </xdr:to>
    <xdr:sp>
      <xdr:nvSpPr>
        <xdr:cNvPr id="12" name="Line 12"/>
        <xdr:cNvSpPr>
          <a:spLocks/>
        </xdr:cNvSpPr>
      </xdr:nvSpPr>
      <xdr:spPr>
        <a:xfrm flipH="1">
          <a:off x="3886200" y="15363825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114300</xdr:colOff>
      <xdr:row>94</xdr:row>
      <xdr:rowOff>142875</xdr:rowOff>
    </xdr:from>
    <xdr:to>
      <xdr:col>5</xdr:col>
      <xdr:colOff>190500</xdr:colOff>
      <xdr:row>94</xdr:row>
      <xdr:rowOff>142875</xdr:rowOff>
    </xdr:to>
    <xdr:sp>
      <xdr:nvSpPr>
        <xdr:cNvPr id="13" name="Line 13"/>
        <xdr:cNvSpPr>
          <a:spLocks/>
        </xdr:cNvSpPr>
      </xdr:nvSpPr>
      <xdr:spPr>
        <a:xfrm flipH="1">
          <a:off x="3657600" y="155257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92</xdr:row>
      <xdr:rowOff>28575</xdr:rowOff>
    </xdr:from>
    <xdr:to>
      <xdr:col>5</xdr:col>
      <xdr:colOff>47625</xdr:colOff>
      <xdr:row>92</xdr:row>
      <xdr:rowOff>142875</xdr:rowOff>
    </xdr:to>
    <xdr:sp>
      <xdr:nvSpPr>
        <xdr:cNvPr id="14" name="Line 14"/>
        <xdr:cNvSpPr>
          <a:spLocks/>
        </xdr:cNvSpPr>
      </xdr:nvSpPr>
      <xdr:spPr>
        <a:xfrm flipV="1">
          <a:off x="4200525" y="150876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342900</xdr:colOff>
      <xdr:row>92</xdr:row>
      <xdr:rowOff>19050</xdr:rowOff>
    </xdr:from>
    <xdr:to>
      <xdr:col>4</xdr:col>
      <xdr:colOff>342900</xdr:colOff>
      <xdr:row>93</xdr:row>
      <xdr:rowOff>142875</xdr:rowOff>
    </xdr:to>
    <xdr:sp>
      <xdr:nvSpPr>
        <xdr:cNvPr id="15" name="Line 15"/>
        <xdr:cNvSpPr>
          <a:spLocks/>
        </xdr:cNvSpPr>
      </xdr:nvSpPr>
      <xdr:spPr>
        <a:xfrm flipV="1">
          <a:off x="3886200" y="15078075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114300</xdr:colOff>
      <xdr:row>92</xdr:row>
      <xdr:rowOff>28575</xdr:rowOff>
    </xdr:from>
    <xdr:to>
      <xdr:col>4</xdr:col>
      <xdr:colOff>114300</xdr:colOff>
      <xdr:row>94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3657600" y="150876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89</xdr:row>
      <xdr:rowOff>152400</xdr:rowOff>
    </xdr:from>
    <xdr:to>
      <xdr:col>2</xdr:col>
      <xdr:colOff>190500</xdr:colOff>
      <xdr:row>90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733550" y="14563725"/>
          <a:ext cx="7524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etica"/>
              <a:ea typeface="Helvetica"/>
              <a:cs typeface="Helvetica"/>
            </a:rPr>
            <a:t>cont A for n-1
</a:t>
          </a:r>
        </a:p>
      </xdr:txBody>
    </xdr:sp>
    <xdr:clientData/>
  </xdr:twoCellAnchor>
  <xdr:twoCellAnchor>
    <xdr:from>
      <xdr:col>2</xdr:col>
      <xdr:colOff>190500</xdr:colOff>
      <xdr:row>90</xdr:row>
      <xdr:rowOff>85725</xdr:rowOff>
    </xdr:from>
    <xdr:to>
      <xdr:col>2</xdr:col>
      <xdr:colOff>485775</xdr:colOff>
      <xdr:row>90</xdr:row>
      <xdr:rowOff>85725</xdr:rowOff>
    </xdr:to>
    <xdr:sp>
      <xdr:nvSpPr>
        <xdr:cNvPr id="2" name="Line 4"/>
        <xdr:cNvSpPr>
          <a:spLocks/>
        </xdr:cNvSpPr>
      </xdr:nvSpPr>
      <xdr:spPr>
        <a:xfrm>
          <a:off x="2486025" y="1465897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485775</xdr:colOff>
      <xdr:row>89</xdr:row>
      <xdr:rowOff>38100</xdr:rowOff>
    </xdr:from>
    <xdr:to>
      <xdr:col>2</xdr:col>
      <xdr:colOff>485775</xdr:colOff>
      <xdr:row>90</xdr:row>
      <xdr:rowOff>85725</xdr:rowOff>
    </xdr:to>
    <xdr:sp>
      <xdr:nvSpPr>
        <xdr:cNvPr id="3" name="Line 5"/>
        <xdr:cNvSpPr>
          <a:spLocks/>
        </xdr:cNvSpPr>
      </xdr:nvSpPr>
      <xdr:spPr>
        <a:xfrm flipV="1">
          <a:off x="2781300" y="14449425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19050</xdr:colOff>
      <xdr:row>91</xdr:row>
      <xdr:rowOff>9525</xdr:rowOff>
    </xdr:from>
    <xdr:to>
      <xdr:col>2</xdr:col>
      <xdr:colOff>247650</xdr:colOff>
      <xdr:row>92</xdr:row>
      <xdr:rowOff>9525</xdr:rowOff>
    </xdr:to>
    <xdr:sp>
      <xdr:nvSpPr>
        <xdr:cNvPr id="4" name="Text 6"/>
        <xdr:cNvSpPr txBox="1">
          <a:spLocks noChangeArrowheads="1"/>
        </xdr:cNvSpPr>
      </xdr:nvSpPr>
      <xdr:spPr>
        <a:xfrm>
          <a:off x="1733550" y="14744700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etica"/>
              <a:ea typeface="Helvetica"/>
              <a:cs typeface="Helvetica"/>
            </a:rPr>
            <a:t>cont A/P,i,n-1</a:t>
          </a:r>
        </a:p>
      </xdr:txBody>
    </xdr:sp>
    <xdr:clientData/>
  </xdr:twoCellAnchor>
  <xdr:twoCellAnchor>
    <xdr:from>
      <xdr:col>2</xdr:col>
      <xdr:colOff>247650</xdr:colOff>
      <xdr:row>91</xdr:row>
      <xdr:rowOff>95250</xdr:rowOff>
    </xdr:from>
    <xdr:to>
      <xdr:col>3</xdr:col>
      <xdr:colOff>95250</xdr:colOff>
      <xdr:row>91</xdr:row>
      <xdr:rowOff>95250</xdr:rowOff>
    </xdr:to>
    <xdr:sp>
      <xdr:nvSpPr>
        <xdr:cNvPr id="5" name="Line 7"/>
        <xdr:cNvSpPr>
          <a:spLocks/>
        </xdr:cNvSpPr>
      </xdr:nvSpPr>
      <xdr:spPr>
        <a:xfrm>
          <a:off x="2543175" y="1483042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104775</xdr:colOff>
      <xdr:row>89</xdr:row>
      <xdr:rowOff>28575</xdr:rowOff>
    </xdr:from>
    <xdr:to>
      <xdr:col>3</xdr:col>
      <xdr:colOff>104775</xdr:colOff>
      <xdr:row>91</xdr:row>
      <xdr:rowOff>95250</xdr:rowOff>
    </xdr:to>
    <xdr:sp>
      <xdr:nvSpPr>
        <xdr:cNvPr id="6" name="Line 8"/>
        <xdr:cNvSpPr>
          <a:spLocks/>
        </xdr:cNvSpPr>
      </xdr:nvSpPr>
      <xdr:spPr>
        <a:xfrm flipV="1">
          <a:off x="3019425" y="14439900"/>
          <a:ext cx="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90</xdr:row>
      <xdr:rowOff>66675</xdr:rowOff>
    </xdr:from>
    <xdr:to>
      <xdr:col>5</xdr:col>
      <xdr:colOff>600075</xdr:colOff>
      <xdr:row>90</xdr:row>
      <xdr:rowOff>76200</xdr:rowOff>
    </xdr:to>
    <xdr:sp>
      <xdr:nvSpPr>
        <xdr:cNvPr id="7" name="Text 9"/>
        <xdr:cNvSpPr txBox="1">
          <a:spLocks noChangeArrowheads="1"/>
        </xdr:cNvSpPr>
      </xdr:nvSpPr>
      <xdr:spPr>
        <a:xfrm>
          <a:off x="4733925" y="14639925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590550</xdr:colOff>
      <xdr:row>90</xdr:row>
      <xdr:rowOff>47625</xdr:rowOff>
    </xdr:from>
    <xdr:to>
      <xdr:col>7</xdr:col>
      <xdr:colOff>133350</xdr:colOff>
      <xdr:row>91</xdr:row>
      <xdr:rowOff>38100</xdr:rowOff>
    </xdr:to>
    <xdr:sp>
      <xdr:nvSpPr>
        <xdr:cNvPr id="8" name="Text 10"/>
        <xdr:cNvSpPr txBox="1">
          <a:spLocks noChangeArrowheads="1"/>
        </xdr:cNvSpPr>
      </xdr:nvSpPr>
      <xdr:spPr>
        <a:xfrm>
          <a:off x="4724400" y="14620875"/>
          <a:ext cx="771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etica"/>
              <a:ea typeface="Helvetica"/>
              <a:cs typeface="Helvetica"/>
            </a:rPr>
            <a:t>(cont A)/P,i,n
</a:t>
          </a:r>
        </a:p>
      </xdr:txBody>
    </xdr:sp>
    <xdr:clientData/>
  </xdr:twoCellAnchor>
  <xdr:twoCellAnchor>
    <xdr:from>
      <xdr:col>5</xdr:col>
      <xdr:colOff>600075</xdr:colOff>
      <xdr:row>91</xdr:row>
      <xdr:rowOff>66675</xdr:rowOff>
    </xdr:from>
    <xdr:to>
      <xdr:col>7</xdr:col>
      <xdr:colOff>142875</xdr:colOff>
      <xdr:row>92</xdr:row>
      <xdr:rowOff>57150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733925" y="14801850"/>
          <a:ext cx="771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etica"/>
              <a:ea typeface="Helvetica"/>
              <a:cs typeface="Helvetica"/>
            </a:rPr>
            <a:t>hours / year
</a:t>
          </a:r>
        </a:p>
      </xdr:txBody>
    </xdr:sp>
    <xdr:clientData/>
  </xdr:twoCellAnchor>
  <xdr:twoCellAnchor>
    <xdr:from>
      <xdr:col>5</xdr:col>
      <xdr:colOff>600075</xdr:colOff>
      <xdr:row>92</xdr:row>
      <xdr:rowOff>85725</xdr:rowOff>
    </xdr:from>
    <xdr:to>
      <xdr:col>7</xdr:col>
      <xdr:colOff>342900</xdr:colOff>
      <xdr:row>93</xdr:row>
      <xdr:rowOff>85725</xdr:rowOff>
    </xdr:to>
    <xdr:sp>
      <xdr:nvSpPr>
        <xdr:cNvPr id="10" name="Text 12"/>
        <xdr:cNvSpPr txBox="1">
          <a:spLocks noChangeArrowheads="1"/>
        </xdr:cNvSpPr>
      </xdr:nvSpPr>
      <xdr:spPr>
        <a:xfrm>
          <a:off x="4733925" y="14982825"/>
          <a:ext cx="971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etica"/>
              <a:ea typeface="Helvetica"/>
              <a:cs typeface="Helvetica"/>
            </a:rPr>
            <a:t>P/F or P/(cont F)
</a:t>
          </a:r>
        </a:p>
      </xdr:txBody>
    </xdr:sp>
    <xdr:clientData/>
  </xdr:twoCellAnchor>
  <xdr:twoCellAnchor>
    <xdr:from>
      <xdr:col>5</xdr:col>
      <xdr:colOff>123825</xdr:colOff>
      <xdr:row>90</xdr:row>
      <xdr:rowOff>142875</xdr:rowOff>
    </xdr:from>
    <xdr:to>
      <xdr:col>5</xdr:col>
      <xdr:colOff>609600</xdr:colOff>
      <xdr:row>90</xdr:row>
      <xdr:rowOff>142875</xdr:rowOff>
    </xdr:to>
    <xdr:sp>
      <xdr:nvSpPr>
        <xdr:cNvPr id="11" name="Line 13"/>
        <xdr:cNvSpPr>
          <a:spLocks/>
        </xdr:cNvSpPr>
      </xdr:nvSpPr>
      <xdr:spPr>
        <a:xfrm flipH="1">
          <a:off x="4257675" y="147161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428625</xdr:colOff>
      <xdr:row>91</xdr:row>
      <xdr:rowOff>142875</xdr:rowOff>
    </xdr:from>
    <xdr:to>
      <xdr:col>5</xdr:col>
      <xdr:colOff>600075</xdr:colOff>
      <xdr:row>91</xdr:row>
      <xdr:rowOff>142875</xdr:rowOff>
    </xdr:to>
    <xdr:sp>
      <xdr:nvSpPr>
        <xdr:cNvPr id="12" name="Line 15"/>
        <xdr:cNvSpPr>
          <a:spLocks/>
        </xdr:cNvSpPr>
      </xdr:nvSpPr>
      <xdr:spPr>
        <a:xfrm flipH="1">
          <a:off x="3952875" y="14878050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190500</xdr:colOff>
      <xdr:row>92</xdr:row>
      <xdr:rowOff>142875</xdr:rowOff>
    </xdr:from>
    <xdr:to>
      <xdr:col>5</xdr:col>
      <xdr:colOff>609600</xdr:colOff>
      <xdr:row>92</xdr:row>
      <xdr:rowOff>142875</xdr:rowOff>
    </xdr:to>
    <xdr:sp>
      <xdr:nvSpPr>
        <xdr:cNvPr id="13" name="Line 16"/>
        <xdr:cNvSpPr>
          <a:spLocks/>
        </xdr:cNvSpPr>
      </xdr:nvSpPr>
      <xdr:spPr>
        <a:xfrm flipH="1">
          <a:off x="3714750" y="1503997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123825</xdr:colOff>
      <xdr:row>90</xdr:row>
      <xdr:rowOff>28575</xdr:rowOff>
    </xdr:from>
    <xdr:to>
      <xdr:col>5</xdr:col>
      <xdr:colOff>123825</xdr:colOff>
      <xdr:row>90</xdr:row>
      <xdr:rowOff>142875</xdr:rowOff>
    </xdr:to>
    <xdr:sp>
      <xdr:nvSpPr>
        <xdr:cNvPr id="14" name="Line 18"/>
        <xdr:cNvSpPr>
          <a:spLocks/>
        </xdr:cNvSpPr>
      </xdr:nvSpPr>
      <xdr:spPr>
        <a:xfrm flipV="1">
          <a:off x="4257675" y="146018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90</xdr:row>
      <xdr:rowOff>19050</xdr:rowOff>
    </xdr:from>
    <xdr:to>
      <xdr:col>4</xdr:col>
      <xdr:colOff>438150</xdr:colOff>
      <xdr:row>91</xdr:row>
      <xdr:rowOff>142875</xdr:rowOff>
    </xdr:to>
    <xdr:sp>
      <xdr:nvSpPr>
        <xdr:cNvPr id="15" name="Line 19"/>
        <xdr:cNvSpPr>
          <a:spLocks/>
        </xdr:cNvSpPr>
      </xdr:nvSpPr>
      <xdr:spPr>
        <a:xfrm flipV="1">
          <a:off x="3962400" y="14592300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200025</xdr:colOff>
      <xdr:row>90</xdr:row>
      <xdr:rowOff>28575</xdr:rowOff>
    </xdr:from>
    <xdr:to>
      <xdr:col>4</xdr:col>
      <xdr:colOff>200025</xdr:colOff>
      <xdr:row>92</xdr:row>
      <xdr:rowOff>142875</xdr:rowOff>
    </xdr:to>
    <xdr:sp>
      <xdr:nvSpPr>
        <xdr:cNvPr id="16" name="Line 22"/>
        <xdr:cNvSpPr>
          <a:spLocks/>
        </xdr:cNvSpPr>
      </xdr:nvSpPr>
      <xdr:spPr>
        <a:xfrm flipV="1">
          <a:off x="3724275" y="1460182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61"/>
  <sheetViews>
    <sheetView showGridLines="0" tabSelected="1" workbookViewId="0" topLeftCell="A1">
      <selection activeCell="I18" sqref="I18"/>
    </sheetView>
  </sheetViews>
  <sheetFormatPr defaultColWidth="9.7109375" defaultRowHeight="12.75"/>
  <cols>
    <col min="1" max="1" width="25.7109375" style="0" customWidth="1"/>
    <col min="2" max="2" width="9.00390625" style="0" customWidth="1"/>
    <col min="3" max="3" width="9.28125" style="0" customWidth="1"/>
    <col min="4" max="6" width="9.140625" style="0" customWidth="1"/>
    <col min="7" max="8" width="9.421875" style="0" customWidth="1"/>
    <col min="9" max="12" width="8.28125" style="0" customWidth="1"/>
    <col min="13" max="13" width="8.7109375" style="0" customWidth="1"/>
    <col min="14" max="15" width="7.7109375" style="0" customWidth="1"/>
  </cols>
  <sheetData>
    <row r="1" spans="1:12" ht="15.75">
      <c r="A1" s="90" t="s">
        <v>102</v>
      </c>
      <c r="L1" s="103" t="s">
        <v>156</v>
      </c>
    </row>
    <row r="2" spans="1:5" ht="13.5" thickBot="1">
      <c r="A2" s="61"/>
      <c r="E2" s="61"/>
    </row>
    <row r="3" spans="1:3" ht="13.5" thickBot="1">
      <c r="A3" s="62" t="s">
        <v>2</v>
      </c>
      <c r="B3" s="50"/>
      <c r="C3" s="51"/>
    </row>
    <row r="4" spans="1:3" ht="12.75">
      <c r="A4" s="29" t="s">
        <v>3</v>
      </c>
      <c r="B4" s="30"/>
      <c r="C4" s="37"/>
    </row>
    <row r="5" spans="1:3" ht="12.75">
      <c r="A5" s="24" t="s">
        <v>110</v>
      </c>
      <c r="B5" s="20"/>
      <c r="C5" s="44"/>
    </row>
    <row r="6" spans="1:3" ht="12.75">
      <c r="A6" s="24" t="s">
        <v>111</v>
      </c>
      <c r="B6" s="20"/>
      <c r="C6" s="44"/>
    </row>
    <row r="7" spans="1:3" ht="12.75">
      <c r="A7" s="24" t="s">
        <v>4</v>
      </c>
      <c r="B7" s="20"/>
      <c r="C7" s="44"/>
    </row>
    <row r="8" spans="1:3" ht="12.75">
      <c r="A8" s="24" t="s">
        <v>81</v>
      </c>
      <c r="B8" s="20"/>
      <c r="C8" s="44"/>
    </row>
    <row r="9" spans="1:3" ht="12.75">
      <c r="A9" s="24" t="s">
        <v>109</v>
      </c>
      <c r="B9" s="20"/>
      <c r="C9" s="44"/>
    </row>
    <row r="10" spans="1:3" ht="12.75">
      <c r="A10" s="24" t="s">
        <v>82</v>
      </c>
      <c r="B10" s="20"/>
      <c r="C10" s="44"/>
    </row>
    <row r="11" spans="1:3" ht="12.75">
      <c r="A11" s="24" t="s">
        <v>152</v>
      </c>
      <c r="B11" s="20"/>
      <c r="C11" s="44"/>
    </row>
    <row r="12" spans="1:3" ht="12.75">
      <c r="A12" s="24" t="s">
        <v>109</v>
      </c>
      <c r="B12" s="20"/>
      <c r="C12" s="44"/>
    </row>
    <row r="13" spans="1:3" ht="13.5" thickBot="1">
      <c r="A13" s="27" t="s">
        <v>82</v>
      </c>
      <c r="B13" s="28"/>
      <c r="C13" s="45"/>
    </row>
    <row r="14" ht="13.5" thickBot="1"/>
    <row r="15" spans="1:12" ht="13.5" thickBot="1">
      <c r="A15" s="63" t="s">
        <v>3</v>
      </c>
      <c r="B15" s="30"/>
      <c r="C15" s="30"/>
      <c r="D15" s="30"/>
      <c r="E15" s="30"/>
      <c r="F15" s="37"/>
      <c r="G15" s="20"/>
      <c r="H15" s="20"/>
      <c r="I15" s="20"/>
      <c r="J15" s="20"/>
      <c r="K15" s="20"/>
      <c r="L15" s="20"/>
    </row>
    <row r="16" spans="1:12" ht="12.75">
      <c r="A16" s="22" t="s">
        <v>88</v>
      </c>
      <c r="B16" s="23"/>
      <c r="C16" s="23"/>
      <c r="D16" s="23"/>
      <c r="E16" s="23"/>
      <c r="F16" s="59"/>
      <c r="G16" s="20"/>
      <c r="H16" s="20"/>
      <c r="I16" s="20"/>
      <c r="J16" s="20"/>
      <c r="K16" s="20"/>
      <c r="L16" s="20"/>
    </row>
    <row r="17" spans="1:6" ht="12.75">
      <c r="A17" s="24" t="s">
        <v>7</v>
      </c>
      <c r="B17" s="20"/>
      <c r="C17" s="20"/>
      <c r="D17" s="20"/>
      <c r="E17" s="20"/>
      <c r="F17" s="40">
        <v>100000</v>
      </c>
    </row>
    <row r="18" spans="1:6" ht="12.75">
      <c r="A18" s="24" t="s">
        <v>8</v>
      </c>
      <c r="B18" s="20"/>
      <c r="C18" s="20"/>
      <c r="D18" s="20"/>
      <c r="E18" s="20"/>
      <c r="F18" s="38">
        <v>0.2</v>
      </c>
    </row>
    <row r="19" spans="1:6" ht="12.75">
      <c r="A19" s="24" t="s">
        <v>9</v>
      </c>
      <c r="B19" s="20"/>
      <c r="C19" s="20"/>
      <c r="D19" s="20"/>
      <c r="E19" s="20"/>
      <c r="F19" s="39">
        <v>0.06</v>
      </c>
    </row>
    <row r="20" spans="1:6" ht="12.75">
      <c r="A20" s="24" t="s">
        <v>10</v>
      </c>
      <c r="B20" s="20"/>
      <c r="C20" s="20"/>
      <c r="D20" s="20"/>
      <c r="E20" s="20"/>
      <c r="F20" s="38">
        <v>0.35</v>
      </c>
    </row>
    <row r="21" spans="1:6" ht="12.75">
      <c r="A21" s="24" t="s">
        <v>11</v>
      </c>
      <c r="B21" s="20"/>
      <c r="C21" s="20"/>
      <c r="D21" s="20"/>
      <c r="E21" s="20"/>
      <c r="F21" s="40">
        <v>12000</v>
      </c>
    </row>
    <row r="22" spans="1:6" ht="12.75">
      <c r="A22" s="24" t="s">
        <v>12</v>
      </c>
      <c r="B22" s="20"/>
      <c r="C22" s="20"/>
      <c r="D22" s="20"/>
      <c r="E22" s="20"/>
      <c r="F22" s="41">
        <v>4000</v>
      </c>
    </row>
    <row r="23" spans="1:6" ht="12.75">
      <c r="A23" s="24" t="s">
        <v>13</v>
      </c>
      <c r="B23" s="20"/>
      <c r="C23" s="20"/>
      <c r="D23" s="20"/>
      <c r="E23" s="20"/>
      <c r="F23" s="38">
        <v>0.3</v>
      </c>
    </row>
    <row r="24" spans="1:6" ht="12.75">
      <c r="A24" s="24" t="s">
        <v>14</v>
      </c>
      <c r="B24" s="20"/>
      <c r="C24" s="20"/>
      <c r="D24" s="20"/>
      <c r="E24" s="20"/>
      <c r="F24" s="42">
        <v>1.3</v>
      </c>
    </row>
    <row r="25" spans="1:6" ht="12.75">
      <c r="A25" s="24" t="s">
        <v>15</v>
      </c>
      <c r="B25" s="20"/>
      <c r="C25" s="20"/>
      <c r="D25" s="20"/>
      <c r="E25" s="20"/>
      <c r="F25" s="42">
        <v>0.5</v>
      </c>
    </row>
    <row r="26" spans="1:6" ht="12.75">
      <c r="A26" s="24" t="s">
        <v>16</v>
      </c>
      <c r="B26" s="20"/>
      <c r="C26" s="20"/>
      <c r="D26" s="20"/>
      <c r="E26" s="20"/>
      <c r="F26" s="41">
        <v>2000</v>
      </c>
    </row>
    <row r="27" spans="1:6" ht="12.75">
      <c r="A27" s="24" t="s">
        <v>17</v>
      </c>
      <c r="B27" s="20"/>
      <c r="C27" s="20"/>
      <c r="D27" s="20"/>
      <c r="E27" s="20"/>
      <c r="F27" s="42">
        <v>90</v>
      </c>
    </row>
    <row r="28" spans="1:6" ht="13.5" thickBot="1">
      <c r="A28" s="27" t="s">
        <v>18</v>
      </c>
      <c r="B28" s="28"/>
      <c r="C28" s="28"/>
      <c r="D28" s="28"/>
      <c r="E28" s="28"/>
      <c r="F28" s="43">
        <v>40</v>
      </c>
    </row>
    <row r="29" spans="1:12" ht="12.75">
      <c r="A29" s="52"/>
      <c r="B29" s="30"/>
      <c r="C29" s="30"/>
      <c r="D29" s="30"/>
      <c r="E29" s="30"/>
      <c r="F29" s="141" t="s">
        <v>19</v>
      </c>
      <c r="G29" s="142"/>
      <c r="H29" s="142"/>
      <c r="I29" s="142"/>
      <c r="J29" s="142"/>
      <c r="K29" s="142"/>
      <c r="L29" s="37"/>
    </row>
    <row r="30" spans="1:12" ht="12.75">
      <c r="A30" s="57" t="s">
        <v>87</v>
      </c>
      <c r="B30" s="58"/>
      <c r="C30" s="58"/>
      <c r="D30" s="58"/>
      <c r="E30" s="58"/>
      <c r="F30" s="55">
        <v>0</v>
      </c>
      <c r="G30" s="54">
        <v>1</v>
      </c>
      <c r="H30" s="54">
        <v>2</v>
      </c>
      <c r="I30" s="54">
        <v>3</v>
      </c>
      <c r="J30" s="54">
        <v>4</v>
      </c>
      <c r="K30" s="54">
        <v>5</v>
      </c>
      <c r="L30" s="56"/>
    </row>
    <row r="31" spans="1:12" ht="12.75">
      <c r="A31" s="24" t="s">
        <v>20</v>
      </c>
      <c r="B31" s="20"/>
      <c r="C31" s="17"/>
      <c r="D31" s="20"/>
      <c r="E31" s="20"/>
      <c r="F31" s="34">
        <v>1</v>
      </c>
      <c r="G31" s="31">
        <v>0.7</v>
      </c>
      <c r="H31" s="31">
        <v>0.5</v>
      </c>
      <c r="I31" s="31">
        <v>0.35</v>
      </c>
      <c r="J31" s="31">
        <v>0.25</v>
      </c>
      <c r="K31" s="31">
        <v>0.2</v>
      </c>
      <c r="L31" s="44"/>
    </row>
    <row r="32" spans="1:12" ht="12.75">
      <c r="A32" s="24" t="s">
        <v>21</v>
      </c>
      <c r="B32" s="20"/>
      <c r="C32" s="17"/>
      <c r="D32" s="20"/>
      <c r="E32" s="20"/>
      <c r="F32" s="35"/>
      <c r="G32" s="31">
        <v>3</v>
      </c>
      <c r="H32" s="31">
        <v>3.2</v>
      </c>
      <c r="I32" s="31">
        <v>3.4</v>
      </c>
      <c r="J32" s="31">
        <v>3.7</v>
      </c>
      <c r="K32" s="31">
        <v>4</v>
      </c>
      <c r="L32" s="44"/>
    </row>
    <row r="33" spans="1:12" ht="12.75">
      <c r="A33" s="24" t="s">
        <v>22</v>
      </c>
      <c r="B33" s="20"/>
      <c r="C33" s="17"/>
      <c r="D33" s="20"/>
      <c r="E33" s="20"/>
      <c r="F33" s="35"/>
      <c r="G33" s="31">
        <v>0</v>
      </c>
      <c r="H33" s="31">
        <v>0.01</v>
      </c>
      <c r="I33" s="31">
        <v>0.03</v>
      </c>
      <c r="J33" s="31">
        <v>0.06</v>
      </c>
      <c r="K33" s="31">
        <v>0.1</v>
      </c>
      <c r="L33" s="44"/>
    </row>
    <row r="34" spans="1:12" ht="12.75">
      <c r="A34" s="24" t="s">
        <v>23</v>
      </c>
      <c r="B34" s="20"/>
      <c r="C34" s="17"/>
      <c r="D34" s="20"/>
      <c r="E34" s="20"/>
      <c r="F34" s="35"/>
      <c r="G34" s="31">
        <v>0</v>
      </c>
      <c r="H34" s="31">
        <v>0</v>
      </c>
      <c r="I34" s="31">
        <v>0.08</v>
      </c>
      <c r="J34" s="31">
        <v>0.08</v>
      </c>
      <c r="K34" s="31">
        <v>0.08</v>
      </c>
      <c r="L34" s="44"/>
    </row>
    <row r="35" spans="1:12" ht="12.75">
      <c r="A35" s="24" t="s">
        <v>24</v>
      </c>
      <c r="B35" s="20"/>
      <c r="C35" s="17"/>
      <c r="D35" s="20"/>
      <c r="E35" s="20"/>
      <c r="F35" s="34">
        <v>1</v>
      </c>
      <c r="G35" s="31">
        <v>1</v>
      </c>
      <c r="H35" s="31">
        <v>1</v>
      </c>
      <c r="I35" s="31">
        <v>1.05</v>
      </c>
      <c r="J35" s="31">
        <v>1.05</v>
      </c>
      <c r="K35" s="31">
        <v>1.05</v>
      </c>
      <c r="L35" s="44"/>
    </row>
    <row r="36" spans="1:12" ht="12.75">
      <c r="A36" s="24" t="s">
        <v>25</v>
      </c>
      <c r="B36" s="20"/>
      <c r="C36" s="17"/>
      <c r="D36" s="20"/>
      <c r="E36" s="20"/>
      <c r="F36" s="35"/>
      <c r="G36" s="18">
        <v>3</v>
      </c>
      <c r="H36" s="18">
        <v>4</v>
      </c>
      <c r="I36" s="18">
        <v>5</v>
      </c>
      <c r="J36" s="18">
        <v>6.2</v>
      </c>
      <c r="K36" s="18">
        <v>7.5</v>
      </c>
      <c r="L36" s="44"/>
    </row>
    <row r="37" spans="1:12" ht="13.5" thickBot="1">
      <c r="A37" s="27" t="s">
        <v>26</v>
      </c>
      <c r="B37" s="28"/>
      <c r="C37" s="32"/>
      <c r="D37" s="28"/>
      <c r="E37" s="28"/>
      <c r="F37" s="36"/>
      <c r="G37" s="33">
        <v>0.02</v>
      </c>
      <c r="H37" s="33">
        <v>0.02</v>
      </c>
      <c r="I37" s="33">
        <v>0.03</v>
      </c>
      <c r="J37" s="33">
        <v>0.05</v>
      </c>
      <c r="K37" s="33">
        <v>0.08</v>
      </c>
      <c r="L37" s="45"/>
    </row>
    <row r="38" spans="1:13" ht="12.75">
      <c r="A38" s="24"/>
      <c r="B38" s="20"/>
      <c r="C38" s="17"/>
      <c r="D38" s="20"/>
      <c r="E38" s="20"/>
      <c r="F38" s="30"/>
      <c r="G38" s="31"/>
      <c r="H38" s="31"/>
      <c r="I38" s="31"/>
      <c r="J38" s="31"/>
      <c r="K38" s="31"/>
      <c r="L38" s="20"/>
      <c r="M38" s="20"/>
    </row>
    <row r="39" spans="1:13" ht="12.75">
      <c r="A39" s="24"/>
      <c r="B39" s="20"/>
      <c r="C39" s="17"/>
      <c r="D39" s="20"/>
      <c r="E39" s="20"/>
      <c r="F39" s="20"/>
      <c r="G39" s="31"/>
      <c r="H39" s="31"/>
      <c r="I39" s="31"/>
      <c r="J39" s="31"/>
      <c r="K39" s="31"/>
      <c r="L39" s="20"/>
      <c r="M39" s="20"/>
    </row>
    <row r="40" spans="1:13" ht="13.5" thickBot="1">
      <c r="A40" s="64" t="s">
        <v>4</v>
      </c>
      <c r="B40" s="20"/>
      <c r="C40" s="17"/>
      <c r="D40" s="20"/>
      <c r="E40" s="20"/>
      <c r="F40" s="20"/>
      <c r="G40" s="31"/>
      <c r="H40" s="31"/>
      <c r="I40" s="31"/>
      <c r="J40" s="31"/>
      <c r="K40" s="31"/>
      <c r="L40" s="20"/>
      <c r="M40" s="20"/>
    </row>
    <row r="41" spans="1:13" ht="12.75">
      <c r="A41" s="52"/>
      <c r="B41" s="30"/>
      <c r="C41" s="30"/>
      <c r="D41" s="30"/>
      <c r="E41" s="30"/>
      <c r="F41" s="141" t="s">
        <v>19</v>
      </c>
      <c r="G41" s="142"/>
      <c r="H41" s="142"/>
      <c r="I41" s="142"/>
      <c r="J41" s="142"/>
      <c r="K41" s="142"/>
      <c r="L41" s="37"/>
      <c r="M41" s="20"/>
    </row>
    <row r="42" spans="1:13" ht="12.75">
      <c r="A42" s="57" t="s">
        <v>87</v>
      </c>
      <c r="B42" s="58"/>
      <c r="C42" s="58"/>
      <c r="D42" s="58"/>
      <c r="E42" s="58"/>
      <c r="F42" s="85">
        <v>0</v>
      </c>
      <c r="G42" s="86">
        <v>1</v>
      </c>
      <c r="H42" s="86">
        <v>2</v>
      </c>
      <c r="I42" s="86">
        <v>3</v>
      </c>
      <c r="J42" s="86">
        <v>4</v>
      </c>
      <c r="K42" s="86">
        <v>5</v>
      </c>
      <c r="L42" s="102"/>
      <c r="M42" s="20"/>
    </row>
    <row r="43" spans="1:12" ht="12.75">
      <c r="A43" s="24" t="s">
        <v>27</v>
      </c>
      <c r="B43" s="20"/>
      <c r="C43" s="20"/>
      <c r="D43" s="20"/>
      <c r="E43" s="20"/>
      <c r="F43" s="46">
        <f aca="true" t="shared" si="0" ref="F43:K43">$F$17*F31</f>
        <v>100000</v>
      </c>
      <c r="G43" s="17">
        <f t="shared" si="0"/>
        <v>70000</v>
      </c>
      <c r="H43" s="17">
        <f t="shared" si="0"/>
        <v>50000</v>
      </c>
      <c r="I43" s="17">
        <f t="shared" si="0"/>
        <v>35000</v>
      </c>
      <c r="J43" s="17">
        <f t="shared" si="0"/>
        <v>25000</v>
      </c>
      <c r="K43" s="17">
        <f t="shared" si="0"/>
        <v>20000</v>
      </c>
      <c r="L43" s="44"/>
    </row>
    <row r="44" spans="1:12" ht="12.75">
      <c r="A44" s="24" t="s">
        <v>28</v>
      </c>
      <c r="B44" s="20"/>
      <c r="C44" s="20"/>
      <c r="D44" s="20"/>
      <c r="E44" s="20"/>
      <c r="F44" s="35"/>
      <c r="G44" s="17">
        <f>F43</f>
        <v>100000</v>
      </c>
      <c r="H44" s="17">
        <f>$F$17*G31</f>
        <v>70000</v>
      </c>
      <c r="I44" s="17">
        <f>$F$17*H31</f>
        <v>50000</v>
      </c>
      <c r="J44" s="17">
        <f>$F$17*I31</f>
        <v>35000</v>
      </c>
      <c r="K44" s="17">
        <f>$F$17*J31</f>
        <v>25000</v>
      </c>
      <c r="L44" s="25"/>
    </row>
    <row r="45" spans="1:12" ht="12.75">
      <c r="A45" s="24" t="s">
        <v>29</v>
      </c>
      <c r="B45" s="20"/>
      <c r="C45" s="20"/>
      <c r="D45" s="20"/>
      <c r="E45" s="20"/>
      <c r="F45" s="35"/>
      <c r="G45" s="17">
        <f>G44-G43</f>
        <v>30000</v>
      </c>
      <c r="H45" s="17">
        <f>H44-H43</f>
        <v>20000</v>
      </c>
      <c r="I45" s="17">
        <f>I44-I43</f>
        <v>15000</v>
      </c>
      <c r="J45" s="17">
        <f>J44-J43</f>
        <v>10000</v>
      </c>
      <c r="K45" s="17">
        <f>K44-K43</f>
        <v>5000</v>
      </c>
      <c r="L45" s="25"/>
    </row>
    <row r="46" spans="1:12" ht="12.75">
      <c r="A46" s="24" t="s">
        <v>30</v>
      </c>
      <c r="B46" s="20"/>
      <c r="C46" s="20"/>
      <c r="D46" s="20"/>
      <c r="E46" s="20"/>
      <c r="F46" s="35"/>
      <c r="G46" s="17">
        <f>(G43+G44)/2</f>
        <v>85000</v>
      </c>
      <c r="H46" s="17">
        <f>(H43+H44)/2</f>
        <v>60000</v>
      </c>
      <c r="I46" s="17">
        <f>(I43+I44)/2</f>
        <v>42500</v>
      </c>
      <c r="J46" s="17">
        <f>(J43+J44)/2</f>
        <v>30000</v>
      </c>
      <c r="K46" s="17">
        <f>(K43+K44)/2</f>
        <v>22500</v>
      </c>
      <c r="L46" s="25"/>
    </row>
    <row r="47" spans="1:12" ht="12.75">
      <c r="A47" s="24" t="s">
        <v>31</v>
      </c>
      <c r="B47" s="20"/>
      <c r="C47" s="20"/>
      <c r="D47" s="20"/>
      <c r="E47" s="20"/>
      <c r="F47" s="35"/>
      <c r="G47" s="17">
        <f>$F$19*G44</f>
        <v>6000</v>
      </c>
      <c r="H47" s="17">
        <f>$F$19*H44</f>
        <v>4200</v>
      </c>
      <c r="I47" s="17">
        <f>$F$19*I44</f>
        <v>3000</v>
      </c>
      <c r="J47" s="17">
        <f>$F$19*J44</f>
        <v>2100</v>
      </c>
      <c r="K47" s="17">
        <f>$F$19*K44</f>
        <v>1500</v>
      </c>
      <c r="L47" s="44"/>
    </row>
    <row r="48" spans="1:12" ht="12.75">
      <c r="A48" s="24" t="s">
        <v>120</v>
      </c>
      <c r="B48" s="20"/>
      <c r="C48" s="20"/>
      <c r="D48" s="20"/>
      <c r="E48" s="20"/>
      <c r="F48" s="35"/>
      <c r="G48" s="17">
        <f>$F$18*G46</f>
        <v>17000</v>
      </c>
      <c r="H48" s="17">
        <f>$F$18*H46</f>
        <v>12000</v>
      </c>
      <c r="I48" s="17">
        <f>$F$18*I46</f>
        <v>8500</v>
      </c>
      <c r="J48" s="17">
        <f>$F$18*J46</f>
        <v>6000</v>
      </c>
      <c r="K48" s="17">
        <f>$F$18*K46</f>
        <v>4500</v>
      </c>
      <c r="L48" s="44"/>
    </row>
    <row r="49" spans="1:12" ht="12.75">
      <c r="A49" s="24" t="s">
        <v>113</v>
      </c>
      <c r="B49" s="20"/>
      <c r="C49" s="20"/>
      <c r="D49" s="20"/>
      <c r="E49" s="20"/>
      <c r="F49" s="35"/>
      <c r="G49" s="17">
        <f>-$F$20*G45</f>
        <v>-10500</v>
      </c>
      <c r="H49" s="17">
        <f>-$F$20*H45</f>
        <v>-7000</v>
      </c>
      <c r="I49" s="17">
        <f>-$F$20*I45</f>
        <v>-5250</v>
      </c>
      <c r="J49" s="17">
        <f>-$F$20*J45</f>
        <v>-3500</v>
      </c>
      <c r="K49" s="17">
        <f>-$F$20*K45</f>
        <v>-1750</v>
      </c>
      <c r="L49" s="44"/>
    </row>
    <row r="50" spans="1:12" ht="12.75">
      <c r="A50" s="24" t="s">
        <v>33</v>
      </c>
      <c r="B50" s="20"/>
      <c r="C50" s="20"/>
      <c r="D50" s="20"/>
      <c r="E50" s="20"/>
      <c r="F50" s="35"/>
      <c r="G50" s="17">
        <f>($F$21/$F$22)*(1+$F$23)*$F$26</f>
        <v>7800.000000000001</v>
      </c>
      <c r="H50" s="17">
        <f>($F$21/$F$22)*(1+$F$23)*$F$26</f>
        <v>7800.000000000001</v>
      </c>
      <c r="I50" s="17">
        <f>($F$21/$F$22)*(1+$F$23)*$F$26</f>
        <v>7800.000000000001</v>
      </c>
      <c r="J50" s="17">
        <f>($F$21/$F$22)*(1+$F$23)*$F$26</f>
        <v>7800.000000000001</v>
      </c>
      <c r="K50" s="17">
        <f>($F$21/$F$22)*(1+$F$23)*$F$26</f>
        <v>7800.000000000001</v>
      </c>
      <c r="L50" s="44"/>
    </row>
    <row r="51" spans="1:12" ht="12.75">
      <c r="A51" s="24" t="s">
        <v>34</v>
      </c>
      <c r="B51" s="20"/>
      <c r="C51" s="20"/>
      <c r="D51" s="20"/>
      <c r="E51" s="20"/>
      <c r="F51" s="35"/>
      <c r="G51" s="17">
        <f>$F$24*G$32*$F$26</f>
        <v>7800.000000000001</v>
      </c>
      <c r="H51" s="17">
        <f>$F$24*H$32*$F$26</f>
        <v>8320</v>
      </c>
      <c r="I51" s="17">
        <f>$F$24*I$32*$F$26</f>
        <v>8840</v>
      </c>
      <c r="J51" s="17">
        <f>$F$24*J$32*$F$26</f>
        <v>9620.000000000002</v>
      </c>
      <c r="K51" s="17">
        <f>$F$24*K$32*$F$26</f>
        <v>10400</v>
      </c>
      <c r="L51" s="44"/>
    </row>
    <row r="52" spans="1:12" ht="12.75">
      <c r="A52" s="24" t="s">
        <v>35</v>
      </c>
      <c r="B52" s="20"/>
      <c r="C52" s="20"/>
      <c r="D52" s="20"/>
      <c r="E52" s="20"/>
      <c r="F52" s="35"/>
      <c r="G52" s="17">
        <f>$F$25*$F$26</f>
        <v>1000</v>
      </c>
      <c r="H52" s="17">
        <f>$F$25*$F$26</f>
        <v>1000</v>
      </c>
      <c r="I52" s="17">
        <f>$F$25*$F$26</f>
        <v>1000</v>
      </c>
      <c r="J52" s="17">
        <f>$F$25*$F$26</f>
        <v>1000</v>
      </c>
      <c r="K52" s="17">
        <f>$F$25*$F$26</f>
        <v>1000</v>
      </c>
      <c r="L52" s="44"/>
    </row>
    <row r="53" spans="1:12" ht="12.75">
      <c r="A53" s="24" t="s">
        <v>36</v>
      </c>
      <c r="B53" s="20"/>
      <c r="C53" s="20"/>
      <c r="D53" s="20"/>
      <c r="E53" s="20"/>
      <c r="F53" s="35"/>
      <c r="G53" s="17">
        <f>$F$26*G$36</f>
        <v>6000</v>
      </c>
      <c r="H53" s="17">
        <f>$F$26*H$36</f>
        <v>8000</v>
      </c>
      <c r="I53" s="17">
        <f>$F$26*I$36</f>
        <v>10000</v>
      </c>
      <c r="J53" s="17">
        <f>$F$26*J$36</f>
        <v>12400</v>
      </c>
      <c r="K53" s="17">
        <f>$F$26*K$36</f>
        <v>15000</v>
      </c>
      <c r="L53" s="44"/>
    </row>
    <row r="54" spans="1:12" ht="12.75">
      <c r="A54" s="24" t="s">
        <v>37</v>
      </c>
      <c r="B54" s="20"/>
      <c r="C54" s="17"/>
      <c r="D54" s="20"/>
      <c r="E54" s="20"/>
      <c r="F54" s="46"/>
      <c r="G54" s="17">
        <f>G$37*$F$28*$F$26</f>
        <v>1600</v>
      </c>
      <c r="H54" s="17">
        <f>H$37*$F$28*$F$26</f>
        <v>1600</v>
      </c>
      <c r="I54" s="17">
        <f>I$37*$F$28*$F$26</f>
        <v>2400</v>
      </c>
      <c r="J54" s="17">
        <f>J$37*$F$28*$F$26</f>
        <v>4000</v>
      </c>
      <c r="K54" s="17">
        <f>K$37*$F$28*$F$26</f>
        <v>6400</v>
      </c>
      <c r="L54" s="44"/>
    </row>
    <row r="55" spans="1:12" ht="12.75">
      <c r="A55" s="24" t="s">
        <v>84</v>
      </c>
      <c r="B55" s="20"/>
      <c r="C55" s="17"/>
      <c r="D55" s="20"/>
      <c r="E55" s="20"/>
      <c r="F55" s="46"/>
      <c r="G55" s="17"/>
      <c r="H55" s="17"/>
      <c r="I55" s="17"/>
      <c r="J55" s="17"/>
      <c r="K55" s="17"/>
      <c r="L55" s="44"/>
    </row>
    <row r="56" spans="1:12" ht="12.75">
      <c r="A56" s="35" t="s">
        <v>86</v>
      </c>
      <c r="B56" s="20"/>
      <c r="C56" s="20"/>
      <c r="D56" s="20"/>
      <c r="E56" s="20"/>
      <c r="F56" s="35"/>
      <c r="G56" s="17">
        <f>((1+G$33)*(1+G$34)-1)*($F$26*$F$27+SUM(G50:G54))</f>
        <v>0</v>
      </c>
      <c r="H56" s="17">
        <f>((1+H$33)*(1+H$34)-1)*($F$26*$F$27+SUM(H50:H54))</f>
        <v>2067.2000000000016</v>
      </c>
      <c r="I56" s="17">
        <f>((1+I$33)*(1+I$34)-1)*($F$26*$F$27+SUM(I50:I54))</f>
        <v>23608.49600000001</v>
      </c>
      <c r="J56" s="17">
        <f>((1+J$33)*(1+J$34)-1)*($F$26*$F$27+SUM(J50:J54))</f>
        <v>31105.93600000001</v>
      </c>
      <c r="K56" s="17">
        <f>((1+K$33)*(1+K$34)-1)*($F$26*$F$27+SUM(K50:K54))</f>
        <v>41472.80000000004</v>
      </c>
      <c r="L56" s="44"/>
    </row>
    <row r="57" spans="1:12" ht="12.75">
      <c r="A57" s="60" t="s">
        <v>39</v>
      </c>
      <c r="B57" s="58"/>
      <c r="C57" s="58"/>
      <c r="D57" s="58"/>
      <c r="E57" s="58"/>
      <c r="F57" s="57"/>
      <c r="G57" s="13">
        <f>$F$17*(G35-1)</f>
        <v>0</v>
      </c>
      <c r="H57" s="13">
        <f>$F$17*(H35-1)</f>
        <v>0</v>
      </c>
      <c r="I57" s="13">
        <f>$F$17*(I35-1)</f>
        <v>5000.000000000005</v>
      </c>
      <c r="J57" s="13">
        <f>$F$17*(J35-1)</f>
        <v>5000.000000000005</v>
      </c>
      <c r="K57" s="13">
        <f>$F$17*(K35-1)</f>
        <v>5000.000000000005</v>
      </c>
      <c r="L57" s="56"/>
    </row>
    <row r="58" spans="1:12" ht="12.75">
      <c r="A58" s="24" t="s">
        <v>40</v>
      </c>
      <c r="B58" t="s">
        <v>98</v>
      </c>
      <c r="C58" s="20"/>
      <c r="D58" s="20"/>
      <c r="E58" s="20"/>
      <c r="F58" s="47">
        <f aca="true" t="shared" si="1" ref="F58:K58">1/((1+$F$18)^F$30)</f>
        <v>1</v>
      </c>
      <c r="G58" s="48">
        <f t="shared" si="1"/>
        <v>0.8333333333333334</v>
      </c>
      <c r="H58" s="48">
        <f t="shared" si="1"/>
        <v>0.6944444444444444</v>
      </c>
      <c r="I58" s="48">
        <f t="shared" si="1"/>
        <v>0.5787037037037037</v>
      </c>
      <c r="J58" s="48">
        <f t="shared" si="1"/>
        <v>0.4822530864197531</v>
      </c>
      <c r="K58" s="48">
        <f t="shared" si="1"/>
        <v>0.4018775720164609</v>
      </c>
      <c r="L58" s="44"/>
    </row>
    <row r="59" spans="1:12" ht="12.75">
      <c r="A59" s="24" t="s">
        <v>100</v>
      </c>
      <c r="B59" s="20"/>
      <c r="C59" s="20"/>
      <c r="D59" s="20"/>
      <c r="E59" s="20"/>
      <c r="F59" s="35"/>
      <c r="G59" s="48">
        <f>$F$18/(((1+$F$18)^G$30)*LN(1+$F$18))</f>
        <v>0.9141358246245131</v>
      </c>
      <c r="H59" s="48">
        <f>$F$18/(((1+$F$18)^H$30)*LN(1+$F$18))</f>
        <v>0.7617798538537609</v>
      </c>
      <c r="I59" s="48">
        <f>$F$18/(((1+$F$18)^I$30)*LN(1+$F$18))</f>
        <v>0.6348165448781341</v>
      </c>
      <c r="J59" s="48">
        <f>$F$18/(((1+$F$18)^J$30)*LN(1+$F$18))</f>
        <v>0.5290137873984451</v>
      </c>
      <c r="K59" s="48">
        <f>$F$18/(((1+$F$18)^K$30)*LN(1+$F$18))</f>
        <v>0.4408448228320376</v>
      </c>
      <c r="L59" s="44"/>
    </row>
    <row r="60" spans="1:12" ht="13.5" thickBot="1">
      <c r="A60" s="27" t="s">
        <v>101</v>
      </c>
      <c r="B60" s="28"/>
      <c r="C60" s="28"/>
      <c r="D60" s="28"/>
      <c r="E60" s="28"/>
      <c r="F60" s="36"/>
      <c r="G60" s="49">
        <f>(((1+$F$18)^G$30)*LN(1+$F$18))/((1+$F$18)^G30-1)</f>
        <v>1.0939293407637278</v>
      </c>
      <c r="H60" s="49">
        <f>(((1+$F$18)^H$30)*LN(1+$F$18))/((1+$F$18)^H30-1)</f>
        <v>0.5966887313256697</v>
      </c>
      <c r="I60" s="49">
        <f>(((1+$F$18)^I$30)*LN(1+$F$18))/((1+$F$18)^I30-1)</f>
        <v>0.43276325568674934</v>
      </c>
      <c r="J60" s="49">
        <f>(((1+$F$18)^J$30)*LN(1+$F$18))/((1+$F$18)^J30-1)</f>
        <v>0.3521441693069526</v>
      </c>
      <c r="K60" s="49">
        <f>(((1+$F$18)^K$30)*LN(1+$F$18))/((1+$F$18)^K30-1)</f>
        <v>0.30482314032031627</v>
      </c>
      <c r="L60" s="45"/>
    </row>
    <row r="61" spans="1:12" ht="13.5" thickBot="1">
      <c r="A61" s="62" t="s">
        <v>89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1"/>
    </row>
    <row r="62" spans="1:12" ht="12.75">
      <c r="A62" s="52"/>
      <c r="B62" s="30"/>
      <c r="C62" s="52"/>
      <c r="D62" s="30"/>
      <c r="E62" s="53" t="s">
        <v>123</v>
      </c>
      <c r="F62" s="30"/>
      <c r="G62" s="30"/>
      <c r="H62" s="52"/>
      <c r="I62" s="30"/>
      <c r="J62" s="53" t="s">
        <v>125</v>
      </c>
      <c r="K62" s="30"/>
      <c r="L62" s="37"/>
    </row>
    <row r="63" spans="1:13" ht="12.75">
      <c r="A63" s="35"/>
      <c r="B63" s="48"/>
      <c r="C63" s="83">
        <v>1</v>
      </c>
      <c r="D63" s="65">
        <v>2</v>
      </c>
      <c r="E63" s="65">
        <v>3</v>
      </c>
      <c r="F63" s="65">
        <v>4</v>
      </c>
      <c r="G63" s="65">
        <v>5</v>
      </c>
      <c r="H63" s="83">
        <v>1</v>
      </c>
      <c r="I63" s="65">
        <v>2</v>
      </c>
      <c r="J63" s="65">
        <v>3</v>
      </c>
      <c r="K63" s="65">
        <v>4</v>
      </c>
      <c r="L63" s="84">
        <v>5</v>
      </c>
      <c r="M63" s="80"/>
    </row>
    <row r="64" spans="1:12" ht="15.75">
      <c r="A64" s="24" t="s">
        <v>127</v>
      </c>
      <c r="B64" s="20"/>
      <c r="C64" s="79"/>
      <c r="D64" s="21"/>
      <c r="E64" s="74" t="s">
        <v>45</v>
      </c>
      <c r="F64" s="21"/>
      <c r="G64" s="21"/>
      <c r="H64" s="75"/>
      <c r="I64" s="21"/>
      <c r="J64" s="74" t="s">
        <v>46</v>
      </c>
      <c r="K64" s="21"/>
      <c r="L64" s="76"/>
    </row>
    <row r="65" spans="1:12" ht="12.75">
      <c r="A65" s="24" t="s">
        <v>7</v>
      </c>
      <c r="B65" s="20"/>
      <c r="C65" s="46">
        <f>$F$17</f>
        <v>100000</v>
      </c>
      <c r="D65" s="17"/>
      <c r="E65" s="17"/>
      <c r="F65" s="17"/>
      <c r="G65" s="17"/>
      <c r="H65" s="69">
        <f>C65*G$60/$F$26</f>
        <v>54.69646703818639</v>
      </c>
      <c r="I65" s="18">
        <f aca="true" t="shared" si="2" ref="I65:L67">(H65/G$60+D65*G$58/$F$26)*H$60</f>
        <v>29.834436566283486</v>
      </c>
      <c r="J65" s="18">
        <f t="shared" si="2"/>
        <v>21.638162784337467</v>
      </c>
      <c r="K65" s="18">
        <f t="shared" si="2"/>
        <v>17.60720846534763</v>
      </c>
      <c r="L65" s="26">
        <f t="shared" si="2"/>
        <v>15.241157016015814</v>
      </c>
    </row>
    <row r="66" spans="1:12" ht="12.75">
      <c r="A66" s="24" t="s">
        <v>47</v>
      </c>
      <c r="B66" s="20"/>
      <c r="C66" s="46">
        <f>G$47</f>
        <v>6000</v>
      </c>
      <c r="D66" s="17">
        <f>H$47</f>
        <v>4200</v>
      </c>
      <c r="E66" s="17">
        <f>I$47</f>
        <v>3000</v>
      </c>
      <c r="F66" s="17">
        <f>J$47</f>
        <v>2100</v>
      </c>
      <c r="G66" s="17">
        <f>K$47</f>
        <v>1500</v>
      </c>
      <c r="H66" s="69">
        <f>C66*G$60/$F$26</f>
        <v>3.2817880222911837</v>
      </c>
      <c r="I66" s="18">
        <f t="shared" si="2"/>
        <v>2.834271473796931</v>
      </c>
      <c r="J66" s="18">
        <f t="shared" si="2"/>
        <v>2.50642052251909</v>
      </c>
      <c r="K66" s="18">
        <f t="shared" si="2"/>
        <v>2.253478139002478</v>
      </c>
      <c r="L66" s="26">
        <f t="shared" si="2"/>
        <v>2.060907840487416</v>
      </c>
    </row>
    <row r="67" spans="1:12" ht="12.75">
      <c r="A67" s="24" t="s">
        <v>48</v>
      </c>
      <c r="B67" s="20"/>
      <c r="C67" s="68">
        <f>G$50</f>
        <v>7800.000000000001</v>
      </c>
      <c r="D67" s="13">
        <f>H$50</f>
        <v>7800.000000000001</v>
      </c>
      <c r="E67" s="13">
        <f>I$50</f>
        <v>7800.000000000001</v>
      </c>
      <c r="F67" s="13">
        <f>J$50</f>
        <v>7800.000000000001</v>
      </c>
      <c r="G67" s="13">
        <f>K$50</f>
        <v>7800.000000000001</v>
      </c>
      <c r="H67" s="77">
        <f>C67*G$60/$F$26</f>
        <v>4.266324428978539</v>
      </c>
      <c r="I67" s="14">
        <f t="shared" si="2"/>
        <v>4.266324428978538</v>
      </c>
      <c r="J67" s="14">
        <f t="shared" si="2"/>
        <v>4.266324428978537</v>
      </c>
      <c r="K67" s="14">
        <f t="shared" si="2"/>
        <v>4.266324428978538</v>
      </c>
      <c r="L67" s="66">
        <f t="shared" si="2"/>
        <v>4.266324428978538</v>
      </c>
    </row>
    <row r="68" spans="1:12" ht="15.75">
      <c r="A68" s="24" t="s">
        <v>128</v>
      </c>
      <c r="B68" s="20"/>
      <c r="C68" s="46">
        <f aca="true" t="shared" si="3" ref="C68:L68">SUM(C65:C67)</f>
        <v>113800</v>
      </c>
      <c r="D68" s="17">
        <f t="shared" si="3"/>
        <v>12000</v>
      </c>
      <c r="E68" s="104">
        <f t="shared" si="3"/>
        <v>10800</v>
      </c>
      <c r="F68" s="17">
        <f t="shared" si="3"/>
        <v>9900</v>
      </c>
      <c r="G68" s="17">
        <f t="shared" si="3"/>
        <v>9300</v>
      </c>
      <c r="H68" s="69">
        <f t="shared" si="3"/>
        <v>62.244579489456115</v>
      </c>
      <c r="I68" s="18">
        <f t="shared" si="3"/>
        <v>36.93503246905895</v>
      </c>
      <c r="J68" s="18">
        <f t="shared" si="3"/>
        <v>28.410907735835096</v>
      </c>
      <c r="K68" s="18">
        <f t="shared" si="3"/>
        <v>24.127011033328646</v>
      </c>
      <c r="L68" s="26">
        <f t="shared" si="3"/>
        <v>21.568389285481768</v>
      </c>
    </row>
    <row r="69" spans="1:12" ht="15.75">
      <c r="A69" s="60" t="s">
        <v>137</v>
      </c>
      <c r="B69" s="58"/>
      <c r="C69" s="68">
        <f>B69+C68*F$58</f>
        <v>113800</v>
      </c>
      <c r="D69" s="13">
        <f>C69+D68*G$58</f>
        <v>123800</v>
      </c>
      <c r="E69" s="13">
        <f>D69+E68*H$58</f>
        <v>131300</v>
      </c>
      <c r="F69" s="13">
        <f>E69+F68*I$58</f>
        <v>137029.16666666666</v>
      </c>
      <c r="G69" s="13">
        <f>F69+G68*J$58</f>
        <v>141514.12037037036</v>
      </c>
      <c r="H69" s="77"/>
      <c r="I69" s="14"/>
      <c r="J69" s="14"/>
      <c r="K69" s="14"/>
      <c r="L69" s="66"/>
    </row>
    <row r="70" spans="1:12" ht="15.75">
      <c r="A70" s="24" t="s">
        <v>129</v>
      </c>
      <c r="B70" s="20"/>
      <c r="C70" s="35"/>
      <c r="D70" s="20"/>
      <c r="E70" s="20"/>
      <c r="F70" s="20"/>
      <c r="G70" s="20"/>
      <c r="H70" s="69"/>
      <c r="I70" s="18"/>
      <c r="J70" s="18"/>
      <c r="K70" s="18"/>
      <c r="L70" s="26"/>
    </row>
    <row r="71" spans="1:12" ht="12.75">
      <c r="A71" s="24" t="s">
        <v>108</v>
      </c>
      <c r="B71" s="17"/>
      <c r="C71" s="68">
        <f>G$49</f>
        <v>-10500</v>
      </c>
      <c r="D71" s="13">
        <f>H$49</f>
        <v>-7000</v>
      </c>
      <c r="E71" s="13">
        <f>I$49</f>
        <v>-5250</v>
      </c>
      <c r="F71" s="13">
        <f>J$49</f>
        <v>-3500</v>
      </c>
      <c r="G71" s="13">
        <f>K$49</f>
        <v>-1750</v>
      </c>
      <c r="H71" s="77">
        <f>(B71+C71*G$58)*G$60/$F$26</f>
        <v>-4.78594086584131</v>
      </c>
      <c r="I71" s="14">
        <f>(H71/G$60+D71*H$58/$F$26)*H$60</f>
        <v>-4.060798310410808</v>
      </c>
      <c r="J71" s="14">
        <f>(I71/H$60+E71*I$58/$F$26)*I$60</f>
        <v>-3.6026038385728527</v>
      </c>
      <c r="K71" s="14">
        <f>(J71/I$60+F71*J$58/$F$26)*J$60</f>
        <v>-3.2286675090971175</v>
      </c>
      <c r="L71" s="66">
        <f>(K71/J$60+G71*K$58/$F$26)*K$60</f>
        <v>-2.9019890127893926</v>
      </c>
    </row>
    <row r="72" spans="1:12" ht="15.75">
      <c r="A72" s="24" t="s">
        <v>139</v>
      </c>
      <c r="B72" s="17"/>
      <c r="C72" s="46">
        <f aca="true" t="shared" si="4" ref="C72:L72">SUM(C71:C71)</f>
        <v>-10500</v>
      </c>
      <c r="D72" s="17">
        <f t="shared" si="4"/>
        <v>-7000</v>
      </c>
      <c r="E72" s="17">
        <f t="shared" si="4"/>
        <v>-5250</v>
      </c>
      <c r="F72" s="17">
        <f t="shared" si="4"/>
        <v>-3500</v>
      </c>
      <c r="G72" s="17">
        <f t="shared" si="4"/>
        <v>-1750</v>
      </c>
      <c r="H72" s="69">
        <f t="shared" si="4"/>
        <v>-4.78594086584131</v>
      </c>
      <c r="I72" s="18">
        <f t="shared" si="4"/>
        <v>-4.060798310410808</v>
      </c>
      <c r="J72" s="18">
        <f t="shared" si="4"/>
        <v>-3.6026038385728527</v>
      </c>
      <c r="K72" s="18">
        <f t="shared" si="4"/>
        <v>-3.2286675090971175</v>
      </c>
      <c r="L72" s="26">
        <f t="shared" si="4"/>
        <v>-2.9019890127893926</v>
      </c>
    </row>
    <row r="73" spans="1:12" ht="15.75">
      <c r="A73" s="60" t="s">
        <v>130</v>
      </c>
      <c r="B73" s="13"/>
      <c r="C73" s="68">
        <f>B73+C72*G$58</f>
        <v>-8750</v>
      </c>
      <c r="D73" s="13">
        <f>C73+D72*H$58</f>
        <v>-13611.111111111111</v>
      </c>
      <c r="E73" s="13">
        <f>D73+E72*I$58</f>
        <v>-16649.305555555555</v>
      </c>
      <c r="F73" s="13">
        <f>E73+F72*J$58</f>
        <v>-18337.19135802469</v>
      </c>
      <c r="G73" s="13">
        <f>F73+G72*K$58</f>
        <v>-19040.477109053496</v>
      </c>
      <c r="H73" s="77"/>
      <c r="I73" s="14"/>
      <c r="J73" s="14"/>
      <c r="K73" s="14"/>
      <c r="L73" s="66"/>
    </row>
    <row r="74" spans="1:12" ht="15.75">
      <c r="A74" s="24" t="s">
        <v>131</v>
      </c>
      <c r="B74" s="17"/>
      <c r="C74" s="46"/>
      <c r="D74" s="17"/>
      <c r="E74" s="17"/>
      <c r="F74" s="17"/>
      <c r="G74" s="17"/>
      <c r="H74" s="69"/>
      <c r="I74" s="18"/>
      <c r="J74" s="18"/>
      <c r="K74" s="18"/>
      <c r="L74" s="26"/>
    </row>
    <row r="75" spans="1:12" ht="12.75">
      <c r="A75" s="24" t="s">
        <v>58</v>
      </c>
      <c r="B75" s="17"/>
      <c r="C75" s="46">
        <f>G$51</f>
        <v>7800.000000000001</v>
      </c>
      <c r="D75" s="17">
        <f>H$51</f>
        <v>8320</v>
      </c>
      <c r="E75" s="17">
        <f>I$51</f>
        <v>8840</v>
      </c>
      <c r="F75" s="17">
        <f>J$51</f>
        <v>9620.000000000002</v>
      </c>
      <c r="G75" s="17">
        <f>K$51</f>
        <v>10400</v>
      </c>
      <c r="H75" s="69">
        <f>(+C75*G$59/$F$26)*G$60</f>
        <v>3.900000000000002</v>
      </c>
      <c r="I75" s="18">
        <f aca="true" t="shared" si="5" ref="I75:L79">(H75/G$60+D75*H$59/$F$26)*H$60</f>
        <v>4.018181818181819</v>
      </c>
      <c r="J75" s="18">
        <f t="shared" si="5"/>
        <v>4.128571428571429</v>
      </c>
      <c r="K75" s="18">
        <f t="shared" si="5"/>
        <v>4.255514157973176</v>
      </c>
      <c r="L75" s="26">
        <f t="shared" si="5"/>
        <v>4.382433885185982</v>
      </c>
    </row>
    <row r="76" spans="1:12" ht="12.75">
      <c r="A76" s="24" t="s">
        <v>59</v>
      </c>
      <c r="B76" s="17"/>
      <c r="C76" s="46">
        <f>G$52</f>
        <v>1000</v>
      </c>
      <c r="D76" s="17">
        <f>H$52</f>
        <v>1000</v>
      </c>
      <c r="E76" s="17">
        <f>I$52</f>
        <v>1000</v>
      </c>
      <c r="F76" s="17">
        <f>J$52</f>
        <v>1000</v>
      </c>
      <c r="G76" s="17">
        <f>K$52</f>
        <v>1000</v>
      </c>
      <c r="H76" s="69">
        <f>(+C76*G$59/$F$26)*G$60</f>
        <v>0.5000000000000002</v>
      </c>
      <c r="I76" s="18">
        <f t="shared" si="5"/>
        <v>0.5000000000000001</v>
      </c>
      <c r="J76" s="18">
        <f t="shared" si="5"/>
        <v>0.5</v>
      </c>
      <c r="K76" s="18">
        <f t="shared" si="5"/>
        <v>0.5000000000000001</v>
      </c>
      <c r="L76" s="26">
        <f t="shared" si="5"/>
        <v>0.5</v>
      </c>
    </row>
    <row r="77" spans="1:12" ht="12.75">
      <c r="A77" s="24" t="s">
        <v>60</v>
      </c>
      <c r="B77" s="17"/>
      <c r="C77" s="46">
        <f>G$53</f>
        <v>6000</v>
      </c>
      <c r="D77" s="17">
        <f>H$53</f>
        <v>8000</v>
      </c>
      <c r="E77" s="17">
        <f>I$53</f>
        <v>10000</v>
      </c>
      <c r="F77" s="17">
        <f>J$53</f>
        <v>12400</v>
      </c>
      <c r="G77" s="17">
        <f>K$53</f>
        <v>15000</v>
      </c>
      <c r="H77" s="69">
        <f>(+C77*G$59/$F$26)*G$60</f>
        <v>3.0000000000000013</v>
      </c>
      <c r="I77" s="18">
        <f t="shared" si="5"/>
        <v>3.4545454545454555</v>
      </c>
      <c r="J77" s="18">
        <f t="shared" si="5"/>
        <v>3.879120879120879</v>
      </c>
      <c r="K77" s="18">
        <f t="shared" si="5"/>
        <v>4.311475409836066</v>
      </c>
      <c r="L77" s="26">
        <f t="shared" si="5"/>
        <v>4.739948398193937</v>
      </c>
    </row>
    <row r="78" spans="1:12" ht="12.75">
      <c r="A78" s="24" t="s">
        <v>26</v>
      </c>
      <c r="B78" s="20"/>
      <c r="C78" s="46">
        <f>G$54</f>
        <v>1600</v>
      </c>
      <c r="D78" s="17">
        <f>H$54</f>
        <v>1600</v>
      </c>
      <c r="E78" s="17">
        <f>I$54</f>
        <v>2400</v>
      </c>
      <c r="F78" s="17">
        <f>J$54</f>
        <v>4000</v>
      </c>
      <c r="G78" s="17">
        <f>K$54</f>
        <v>6400</v>
      </c>
      <c r="H78" s="69">
        <f>(+C78*G$59/$F$26)*G$60</f>
        <v>0.8000000000000004</v>
      </c>
      <c r="I78" s="18">
        <f t="shared" si="5"/>
        <v>0.8000000000000003</v>
      </c>
      <c r="J78" s="18">
        <f t="shared" si="5"/>
        <v>0.9098901098901099</v>
      </c>
      <c r="K78" s="18">
        <f t="shared" si="5"/>
        <v>1.1129657228017886</v>
      </c>
      <c r="L78" s="26">
        <f t="shared" si="5"/>
        <v>1.3934207697269405</v>
      </c>
    </row>
    <row r="79" spans="1:12" ht="12.75">
      <c r="A79" s="24" t="s">
        <v>61</v>
      </c>
      <c r="B79" s="20"/>
      <c r="C79" s="68">
        <f>G$56</f>
        <v>0</v>
      </c>
      <c r="D79" s="13">
        <f>H$56</f>
        <v>2067.2000000000016</v>
      </c>
      <c r="E79" s="13">
        <f>I$56</f>
        <v>23608.49600000001</v>
      </c>
      <c r="F79" s="13">
        <f>J$56</f>
        <v>31105.93600000001</v>
      </c>
      <c r="G79" s="13">
        <f>K$56</f>
        <v>41472.80000000004</v>
      </c>
      <c r="H79" s="77">
        <f>(+C79*G$59/$F$26)*G$60</f>
        <v>0</v>
      </c>
      <c r="I79" s="14">
        <f t="shared" si="5"/>
        <v>0.46981818181818236</v>
      </c>
      <c r="J79" s="14">
        <f t="shared" si="5"/>
        <v>3.583672527472529</v>
      </c>
      <c r="K79" s="14">
        <f t="shared" si="5"/>
        <v>5.813422056631895</v>
      </c>
      <c r="L79" s="66">
        <f t="shared" si="5"/>
        <v>7.818767404859175</v>
      </c>
    </row>
    <row r="80" spans="1:12" ht="15.75">
      <c r="A80" s="24" t="s">
        <v>132</v>
      </c>
      <c r="B80" s="17"/>
      <c r="C80" s="46">
        <f aca="true" t="shared" si="6" ref="C80:L80">SUM(C75:C79)</f>
        <v>16400</v>
      </c>
      <c r="D80" s="17">
        <f t="shared" si="6"/>
        <v>20987.2</v>
      </c>
      <c r="E80" s="17">
        <f t="shared" si="6"/>
        <v>45848.496000000014</v>
      </c>
      <c r="F80" s="17">
        <f t="shared" si="6"/>
        <v>58125.93600000001</v>
      </c>
      <c r="G80" s="17">
        <f t="shared" si="6"/>
        <v>74272.80000000005</v>
      </c>
      <c r="H80" s="69">
        <f t="shared" si="6"/>
        <v>8.200000000000005</v>
      </c>
      <c r="I80" s="18">
        <f t="shared" si="6"/>
        <v>9.242545454545457</v>
      </c>
      <c r="J80" s="18">
        <f t="shared" si="6"/>
        <v>13.001254945054947</v>
      </c>
      <c r="K80" s="18">
        <f t="shared" si="6"/>
        <v>15.993377347242925</v>
      </c>
      <c r="L80" s="26">
        <f t="shared" si="6"/>
        <v>18.834570457966038</v>
      </c>
    </row>
    <row r="81" spans="1:12" s="58" customFormat="1" ht="15.75">
      <c r="A81" s="24" t="s">
        <v>136</v>
      </c>
      <c r="B81" s="17"/>
      <c r="C81" s="46">
        <f>B81+C80*G$59</f>
        <v>14991.827523842016</v>
      </c>
      <c r="D81" s="17">
        <f>C81+D80*H$59</f>
        <v>30979.453672641666</v>
      </c>
      <c r="E81" s="17">
        <f>D81+E80*I$59</f>
        <v>60084.83749122063</v>
      </c>
      <c r="F81" s="17">
        <f>E81+F80*J$59</f>
        <v>90834.25904066025</v>
      </c>
      <c r="G81" s="17">
        <f>F81+G80*K$59</f>
        <v>123577.03839789964</v>
      </c>
      <c r="H81" s="69"/>
      <c r="I81" s="18"/>
      <c r="J81" s="18"/>
      <c r="K81" s="18"/>
      <c r="L81" s="26"/>
    </row>
    <row r="82" spans="1:12" ht="12.75">
      <c r="A82" s="107" t="s">
        <v>126</v>
      </c>
      <c r="B82" s="108"/>
      <c r="C82" s="109">
        <v>1</v>
      </c>
      <c r="D82" s="74">
        <v>2</v>
      </c>
      <c r="E82" s="74">
        <v>3</v>
      </c>
      <c r="F82" s="74">
        <v>4</v>
      </c>
      <c r="G82" s="74">
        <v>5</v>
      </c>
      <c r="H82" s="110">
        <v>1</v>
      </c>
      <c r="I82" s="111">
        <v>2</v>
      </c>
      <c r="J82" s="111">
        <v>3</v>
      </c>
      <c r="K82" s="111">
        <v>4</v>
      </c>
      <c r="L82" s="112">
        <v>5</v>
      </c>
    </row>
    <row r="83" spans="1:12" ht="15.75">
      <c r="A83" s="24" t="s">
        <v>133</v>
      </c>
      <c r="B83" s="17"/>
      <c r="C83" s="46"/>
      <c r="D83" s="17"/>
      <c r="E83" s="17"/>
      <c r="F83" s="17"/>
      <c r="G83" s="20"/>
      <c r="H83" s="69"/>
      <c r="I83" s="18"/>
      <c r="J83" s="18"/>
      <c r="K83" s="18"/>
      <c r="L83" s="26"/>
    </row>
    <row r="84" spans="1:12" ht="12.75">
      <c r="A84" s="24" t="s">
        <v>66</v>
      </c>
      <c r="B84" s="17"/>
      <c r="C84" s="46">
        <f>-G$43</f>
        <v>-70000</v>
      </c>
      <c r="D84" s="17">
        <f>-H$43</f>
        <v>-50000</v>
      </c>
      <c r="E84" s="17">
        <f>-I$43</f>
        <v>-35000</v>
      </c>
      <c r="F84" s="17">
        <f>-J$43</f>
        <v>-25000</v>
      </c>
      <c r="G84" s="17">
        <f>-K$43</f>
        <v>-20000</v>
      </c>
      <c r="H84" s="69">
        <f aca="true" t="shared" si="7" ref="H84:L85">C84*G$58*G$60/$F$26</f>
        <v>-31.90627243894206</v>
      </c>
      <c r="I84" s="18">
        <f t="shared" si="7"/>
        <v>-10.359179363292874</v>
      </c>
      <c r="J84" s="18">
        <f t="shared" si="7"/>
        <v>-4.382729730623909</v>
      </c>
      <c r="K84" s="18">
        <f t="shared" si="7"/>
        <v>-2.122782656412475</v>
      </c>
      <c r="L84" s="26">
        <f t="shared" si="7"/>
        <v>-1.2250158352636167</v>
      </c>
    </row>
    <row r="85" spans="1:12" ht="12.75">
      <c r="A85" s="24" t="s">
        <v>67</v>
      </c>
      <c r="B85" s="20"/>
      <c r="C85" s="68">
        <f>G$57</f>
        <v>0</v>
      </c>
      <c r="D85" s="13">
        <f>H$57</f>
        <v>0</v>
      </c>
      <c r="E85" s="13">
        <f>I$57</f>
        <v>5000.000000000005</v>
      </c>
      <c r="F85" s="13">
        <f>J$57</f>
        <v>5000.000000000005</v>
      </c>
      <c r="G85" s="13">
        <f>K$57</f>
        <v>5000.000000000005</v>
      </c>
      <c r="H85" s="77">
        <f t="shared" si="7"/>
        <v>0</v>
      </c>
      <c r="I85" s="14">
        <f t="shared" si="7"/>
        <v>0</v>
      </c>
      <c r="J85" s="14">
        <f t="shared" si="7"/>
        <v>0.6261042472319875</v>
      </c>
      <c r="K85" s="14">
        <f t="shared" si="7"/>
        <v>0.4245565312824953</v>
      </c>
      <c r="L85" s="66">
        <f t="shared" si="7"/>
        <v>0.30625395881590445</v>
      </c>
    </row>
    <row r="86" spans="1:12" ht="15.75">
      <c r="A86" s="24" t="s">
        <v>134</v>
      </c>
      <c r="B86" s="20"/>
      <c r="C86" s="46">
        <f>SUM(C84:C85)</f>
        <v>-70000</v>
      </c>
      <c r="D86" s="17">
        <f>SUM(D84:D85)</f>
        <v>-50000</v>
      </c>
      <c r="E86" s="17">
        <f>SUM(E84:E85)</f>
        <v>-29999.999999999996</v>
      </c>
      <c r="F86" s="17">
        <f>SUM(F84:F85)</f>
        <v>-19999.999999999996</v>
      </c>
      <c r="G86" s="17">
        <f>SUM(G84:G85)</f>
        <v>-14999.999999999996</v>
      </c>
      <c r="H86" s="69"/>
      <c r="I86" s="18"/>
      <c r="J86" s="18"/>
      <c r="K86" s="18"/>
      <c r="L86" s="26"/>
    </row>
    <row r="87" spans="1:12" ht="16.5" thickBot="1">
      <c r="A87" s="70" t="s">
        <v>135</v>
      </c>
      <c r="B87" s="71"/>
      <c r="C87" s="72">
        <f>C86*G$58</f>
        <v>-58333.333333333336</v>
      </c>
      <c r="D87" s="15">
        <f>D86*H$58</f>
        <v>-34722.22222222222</v>
      </c>
      <c r="E87" s="15">
        <f>E86*I$58</f>
        <v>-17361.11111111111</v>
      </c>
      <c r="F87" s="15">
        <f>F86*J$58</f>
        <v>-9645.061728395061</v>
      </c>
      <c r="G87" s="15">
        <f>G86*K$58</f>
        <v>-6028.163580246912</v>
      </c>
      <c r="H87" s="78">
        <f>SUM(H84:H85)</f>
        <v>-31.90627243894206</v>
      </c>
      <c r="I87" s="16">
        <f>SUM(I84:I85)</f>
        <v>-10.359179363292874</v>
      </c>
      <c r="J87" s="16">
        <f>SUM(J84:J85)</f>
        <v>-3.7566254833919217</v>
      </c>
      <c r="K87" s="16">
        <f>SUM(K84:K85)</f>
        <v>-1.6982261251299797</v>
      </c>
      <c r="L87" s="73">
        <f>SUM(L84:L85)</f>
        <v>-0.9187618764477122</v>
      </c>
    </row>
    <row r="88" spans="1:12" ht="13.5" thickTop="1">
      <c r="A88" s="24" t="s">
        <v>138</v>
      </c>
      <c r="B88" s="20"/>
      <c r="C88" s="46">
        <f>C69+C73+C81+C87</f>
        <v>61708.49419050868</v>
      </c>
      <c r="D88" s="17">
        <f>D69+D73+D81+D87</f>
        <v>106446.12033930834</v>
      </c>
      <c r="E88" s="17">
        <f>E69+E73+E81+E87</f>
        <v>157374.42082455393</v>
      </c>
      <c r="F88" s="17">
        <f>F69+F73+F81+F87</f>
        <v>199881.17262090716</v>
      </c>
      <c r="G88" s="17">
        <f>G69+G73+G81+G87</f>
        <v>240022.51807896962</v>
      </c>
      <c r="H88" s="69"/>
      <c r="I88" s="18"/>
      <c r="J88" s="18"/>
      <c r="K88" s="18"/>
      <c r="L88" s="26"/>
    </row>
    <row r="89" spans="1:12" ht="13.5" thickBot="1">
      <c r="A89" s="27" t="s">
        <v>142</v>
      </c>
      <c r="B89" s="28"/>
      <c r="C89" s="105">
        <f>C88*((1+$F$18)^C$63)*(LN(1+$F$18)/(((1+$F$18)^C$63)-1))/$F$26</f>
        <v>33.75236618467274</v>
      </c>
      <c r="D89" s="67">
        <f>D88*((1+$F$18)^D$63)*(LN(1+$F$18)/(((1+$F$18)^D$63)-1))/$F$26</f>
        <v>31.757600249900722</v>
      </c>
      <c r="E89" s="67">
        <f>E88*((1+$F$18)^E$63)*(LN(1+$F$18)/(((1+$F$18)^E$63)-1))/$F$26</f>
        <v>34.052933358925266</v>
      </c>
      <c r="F89" s="67">
        <f>F88*((1+$F$18)^F$63)*(LN(1+$F$18)/(((1+$F$18)^F$63)-1))/$F$26</f>
        <v>35.19349474634447</v>
      </c>
      <c r="G89" s="67">
        <f>G88*((1+$F$18)^G$63)*(LN(1+$F$18)/(((1+$F$18)^G$63)-1))/$F$26</f>
        <v>36.5822088542107</v>
      </c>
      <c r="H89" s="105">
        <f>H68+H72+H80+H87</f>
        <v>33.752366184672745</v>
      </c>
      <c r="I89" s="67">
        <f>I68+I72+I80+I87</f>
        <v>31.757600249900726</v>
      </c>
      <c r="J89" s="67">
        <f>J68+J72+J80+J87</f>
        <v>34.052933358925266</v>
      </c>
      <c r="K89" s="67">
        <f>K68+K72+K80+K87</f>
        <v>35.19349474634448</v>
      </c>
      <c r="L89" s="106">
        <f>L68+L72+L80+L87</f>
        <v>36.5822088542107</v>
      </c>
    </row>
    <row r="90" spans="1:12" ht="12.75">
      <c r="A90" s="35"/>
      <c r="B90" s="20"/>
      <c r="C90" s="19" t="s">
        <v>116</v>
      </c>
      <c r="D90" s="20"/>
      <c r="E90" s="20"/>
      <c r="F90" s="20"/>
      <c r="G90" s="20"/>
      <c r="H90" s="20"/>
      <c r="I90" s="20"/>
      <c r="J90" s="20"/>
      <c r="K90" s="20"/>
      <c r="L90" s="44"/>
    </row>
    <row r="91" spans="1:12" ht="12.75">
      <c r="A91" s="35" t="s">
        <v>98</v>
      </c>
      <c r="B91" s="20"/>
      <c r="C91" s="19" t="s">
        <v>117</v>
      </c>
      <c r="D91" s="20"/>
      <c r="E91" s="20"/>
      <c r="F91" s="20"/>
      <c r="G91" s="20"/>
      <c r="H91" s="20"/>
      <c r="I91" s="20"/>
      <c r="J91" s="20"/>
      <c r="K91" s="20"/>
      <c r="L91" s="44"/>
    </row>
    <row r="92" spans="1:12" ht="12.75">
      <c r="A92" s="130"/>
      <c r="B92" s="20"/>
      <c r="C92" s="19" t="s">
        <v>118</v>
      </c>
      <c r="D92" s="20"/>
      <c r="E92" s="20"/>
      <c r="F92" s="20"/>
      <c r="G92" s="20"/>
      <c r="H92" s="20"/>
      <c r="I92" s="20"/>
      <c r="J92" s="20"/>
      <c r="K92" s="20"/>
      <c r="L92" s="44"/>
    </row>
    <row r="93" spans="1:12" ht="12.75">
      <c r="A93" s="35"/>
      <c r="B93" s="20"/>
      <c r="C93" s="19" t="s">
        <v>119</v>
      </c>
      <c r="D93" s="20"/>
      <c r="E93" s="20"/>
      <c r="F93" s="20"/>
      <c r="G93" s="20"/>
      <c r="H93" s="20"/>
      <c r="I93" s="20"/>
      <c r="J93" s="20"/>
      <c r="K93" s="20"/>
      <c r="L93" s="44"/>
    </row>
    <row r="94" spans="1:12" ht="12.75">
      <c r="A94" s="35"/>
      <c r="B94" s="19"/>
      <c r="C94" s="20"/>
      <c r="D94" s="19"/>
      <c r="E94" s="19"/>
      <c r="F94" s="19"/>
      <c r="G94" s="20"/>
      <c r="H94" s="19"/>
      <c r="I94" s="20"/>
      <c r="J94" s="20"/>
      <c r="K94" s="20"/>
      <c r="L94" s="44"/>
    </row>
    <row r="95" spans="1:12" ht="13.5" thickBot="1">
      <c r="A95" s="36"/>
      <c r="B95" s="131"/>
      <c r="C95" s="28"/>
      <c r="D95" s="28"/>
      <c r="E95" s="131"/>
      <c r="F95" s="28"/>
      <c r="G95" s="28"/>
      <c r="H95" s="131"/>
      <c r="I95" s="28"/>
      <c r="J95" s="28"/>
      <c r="K95" s="28"/>
      <c r="L95" s="45"/>
    </row>
    <row r="96" spans="1:12" ht="13.5" thickBot="1">
      <c r="A96" s="89" t="s">
        <v>96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1"/>
    </row>
    <row r="97" spans="1:12" ht="12.75">
      <c r="A97" s="29"/>
      <c r="B97" s="30"/>
      <c r="C97" s="52"/>
      <c r="D97" s="30"/>
      <c r="E97" s="30" t="s">
        <v>19</v>
      </c>
      <c r="F97" s="30"/>
      <c r="G97" s="30"/>
      <c r="H97" s="52"/>
      <c r="I97" s="30"/>
      <c r="J97" s="30" t="s">
        <v>43</v>
      </c>
      <c r="K97" s="30"/>
      <c r="L97" s="37"/>
    </row>
    <row r="98" spans="1:12" ht="12.75">
      <c r="A98" s="35"/>
      <c r="B98" s="48"/>
      <c r="C98" s="85">
        <v>1</v>
      </c>
      <c r="D98" s="86">
        <v>2</v>
      </c>
      <c r="E98" s="86">
        <v>3</v>
      </c>
      <c r="F98" s="86">
        <v>4</v>
      </c>
      <c r="G98" s="86">
        <v>5</v>
      </c>
      <c r="H98" s="85">
        <v>1</v>
      </c>
      <c r="I98" s="86">
        <v>2</v>
      </c>
      <c r="J98" s="86">
        <v>3</v>
      </c>
      <c r="K98" s="86">
        <v>4</v>
      </c>
      <c r="L98" s="87">
        <v>5</v>
      </c>
    </row>
    <row r="99" spans="1:12" ht="15.75">
      <c r="A99" s="24" t="s">
        <v>127</v>
      </c>
      <c r="B99" s="20"/>
      <c r="C99" s="57"/>
      <c r="D99" s="58"/>
      <c r="E99" s="86" t="s">
        <v>45</v>
      </c>
      <c r="F99" s="58"/>
      <c r="G99" s="58"/>
      <c r="H99" s="77"/>
      <c r="I99" s="58"/>
      <c r="J99" s="86" t="s">
        <v>46</v>
      </c>
      <c r="K99" s="58"/>
      <c r="L99" s="56"/>
    </row>
    <row r="100" spans="1:12" ht="12.75">
      <c r="A100" s="24" t="s">
        <v>7</v>
      </c>
      <c r="B100" s="20"/>
      <c r="C100" s="46">
        <f>$F$17</f>
        <v>100000</v>
      </c>
      <c r="D100" s="17"/>
      <c r="E100" s="17"/>
      <c r="F100" s="17"/>
      <c r="G100" s="17"/>
      <c r="H100" s="69">
        <f>C100*G$60/$F$26</f>
        <v>54.69646703818639</v>
      </c>
      <c r="I100" s="18">
        <f aca="true" t="shared" si="8" ref="I100:L102">(H100/G$60+D100*G$58/$F$26)*H$60</f>
        <v>29.834436566283486</v>
      </c>
      <c r="J100" s="18">
        <f t="shared" si="8"/>
        <v>21.638162784337467</v>
      </c>
      <c r="K100" s="18">
        <f t="shared" si="8"/>
        <v>17.60720846534763</v>
      </c>
      <c r="L100" s="26">
        <f t="shared" si="8"/>
        <v>15.241157016015814</v>
      </c>
    </row>
    <row r="101" spans="1:12" ht="12.75">
      <c r="A101" s="24" t="s">
        <v>47</v>
      </c>
      <c r="B101" s="20"/>
      <c r="C101" s="46">
        <f>G$47</f>
        <v>6000</v>
      </c>
      <c r="D101" s="17">
        <f>H$47</f>
        <v>4200</v>
      </c>
      <c r="E101" s="17">
        <f>I$47</f>
        <v>3000</v>
      </c>
      <c r="F101" s="17">
        <f>J$47</f>
        <v>2100</v>
      </c>
      <c r="G101" s="17">
        <f>K$47</f>
        <v>1500</v>
      </c>
      <c r="H101" s="69">
        <f>C101*G$60/$F$26</f>
        <v>3.2817880222911837</v>
      </c>
      <c r="I101" s="18">
        <f t="shared" si="8"/>
        <v>2.834271473796931</v>
      </c>
      <c r="J101" s="18">
        <f t="shared" si="8"/>
        <v>2.50642052251909</v>
      </c>
      <c r="K101" s="18">
        <f t="shared" si="8"/>
        <v>2.253478139002478</v>
      </c>
      <c r="L101" s="26">
        <f t="shared" si="8"/>
        <v>2.060907840487416</v>
      </c>
    </row>
    <row r="102" spans="1:12" ht="12.75">
      <c r="A102" s="24" t="s">
        <v>48</v>
      </c>
      <c r="B102" s="20"/>
      <c r="C102" s="68">
        <f>G$50</f>
        <v>7800.000000000001</v>
      </c>
      <c r="D102" s="13">
        <f>H$50</f>
        <v>7800.000000000001</v>
      </c>
      <c r="E102" s="13">
        <f>I$50</f>
        <v>7800.000000000001</v>
      </c>
      <c r="F102" s="13">
        <f>J$50</f>
        <v>7800.000000000001</v>
      </c>
      <c r="G102" s="13">
        <f>K$50</f>
        <v>7800.000000000001</v>
      </c>
      <c r="H102" s="77">
        <f>C102*G$60/$F$26</f>
        <v>4.266324428978539</v>
      </c>
      <c r="I102" s="14">
        <f t="shared" si="8"/>
        <v>4.266324428978538</v>
      </c>
      <c r="J102" s="14">
        <f t="shared" si="8"/>
        <v>4.266324428978537</v>
      </c>
      <c r="K102" s="14">
        <f t="shared" si="8"/>
        <v>4.266324428978538</v>
      </c>
      <c r="L102" s="66">
        <f t="shared" si="8"/>
        <v>4.266324428978538</v>
      </c>
    </row>
    <row r="103" spans="1:12" ht="15.75">
      <c r="A103" s="24" t="s">
        <v>128</v>
      </c>
      <c r="B103" s="20"/>
      <c r="C103" s="46">
        <f aca="true" t="shared" si="9" ref="C103:L103">SUM(C100:C102)</f>
        <v>113800</v>
      </c>
      <c r="D103" s="17">
        <f t="shared" si="9"/>
        <v>12000</v>
      </c>
      <c r="E103" s="17">
        <f t="shared" si="9"/>
        <v>10800</v>
      </c>
      <c r="F103" s="17">
        <f t="shared" si="9"/>
        <v>9900</v>
      </c>
      <c r="G103" s="17">
        <f t="shared" si="9"/>
        <v>9300</v>
      </c>
      <c r="H103" s="69">
        <f t="shared" si="9"/>
        <v>62.244579489456115</v>
      </c>
      <c r="I103" s="18">
        <f t="shared" si="9"/>
        <v>36.93503246905895</v>
      </c>
      <c r="J103" s="18">
        <f t="shared" si="9"/>
        <v>28.410907735835096</v>
      </c>
      <c r="K103" s="18">
        <f t="shared" si="9"/>
        <v>24.127011033328646</v>
      </c>
      <c r="L103" s="26">
        <f t="shared" si="9"/>
        <v>21.568389285481768</v>
      </c>
    </row>
    <row r="104" spans="1:12" ht="15.75">
      <c r="A104" s="60" t="s">
        <v>137</v>
      </c>
      <c r="B104" s="58"/>
      <c r="C104" s="68">
        <f>B104+C103*F$58</f>
        <v>113800</v>
      </c>
      <c r="D104" s="13">
        <f>C104+D103*G$58</f>
        <v>123800</v>
      </c>
      <c r="E104" s="13">
        <f>D104+E103*H$58</f>
        <v>131300</v>
      </c>
      <c r="F104" s="13">
        <f>E104+F103*I$58</f>
        <v>137029.16666666666</v>
      </c>
      <c r="G104" s="13">
        <f>F104+G103*J$58</f>
        <v>141514.12037037036</v>
      </c>
      <c r="H104" s="77"/>
      <c r="I104" s="14"/>
      <c r="J104" s="14"/>
      <c r="K104" s="14"/>
      <c r="L104" s="66"/>
    </row>
    <row r="105" spans="1:12" ht="15.75">
      <c r="A105" s="24" t="s">
        <v>129</v>
      </c>
      <c r="B105" s="20"/>
      <c r="C105" s="35"/>
      <c r="D105" s="20"/>
      <c r="E105" s="20"/>
      <c r="F105" s="20"/>
      <c r="G105" s="20"/>
      <c r="H105" s="69"/>
      <c r="I105" s="18"/>
      <c r="J105" s="18"/>
      <c r="K105" s="18"/>
      <c r="L105" s="26"/>
    </row>
    <row r="106" spans="1:12" ht="12.75">
      <c r="A106" s="3" t="s">
        <v>108</v>
      </c>
      <c r="B106" s="17"/>
      <c r="C106" s="68"/>
      <c r="D106" s="13"/>
      <c r="E106" s="13"/>
      <c r="F106" s="13"/>
      <c r="G106" s="13"/>
      <c r="H106" s="77">
        <f>(B106+C106*G$58)*G$60/$F$26</f>
        <v>0</v>
      </c>
      <c r="I106" s="14">
        <f>(H106/G$60+D106*H$58/$F$26)*H$60</f>
        <v>0</v>
      </c>
      <c r="J106" s="14">
        <f>(I106/H$60+E106*I$58/$F$26)*I$60</f>
        <v>0</v>
      </c>
      <c r="K106" s="14">
        <f>(J106/I$60+F106*J$58/$F$26)*J$60</f>
        <v>0</v>
      </c>
      <c r="L106" s="66">
        <f>(K106/J$60+G106*K$58/$F$26)*K$60</f>
        <v>0</v>
      </c>
    </row>
    <row r="107" spans="1:12" ht="15.75">
      <c r="A107" s="24" t="s">
        <v>139</v>
      </c>
      <c r="B107" s="17"/>
      <c r="C107" s="46">
        <f aca="true" t="shared" si="10" ref="C107:L107">SUM(C106:C106)</f>
        <v>0</v>
      </c>
      <c r="D107" s="17">
        <f t="shared" si="10"/>
        <v>0</v>
      </c>
      <c r="E107" s="17">
        <f t="shared" si="10"/>
        <v>0</v>
      </c>
      <c r="F107" s="17">
        <f t="shared" si="10"/>
        <v>0</v>
      </c>
      <c r="G107" s="17">
        <f t="shared" si="10"/>
        <v>0</v>
      </c>
      <c r="H107" s="69">
        <f t="shared" si="10"/>
        <v>0</v>
      </c>
      <c r="I107" s="18">
        <f t="shared" si="10"/>
        <v>0</v>
      </c>
      <c r="J107" s="18">
        <f t="shared" si="10"/>
        <v>0</v>
      </c>
      <c r="K107" s="18">
        <f t="shared" si="10"/>
        <v>0</v>
      </c>
      <c r="L107" s="26">
        <f t="shared" si="10"/>
        <v>0</v>
      </c>
    </row>
    <row r="108" spans="1:12" ht="15.75">
      <c r="A108" s="60" t="s">
        <v>130</v>
      </c>
      <c r="B108" s="13"/>
      <c r="C108" s="68">
        <f>B108+C107*G$58</f>
        <v>0</v>
      </c>
      <c r="D108" s="13">
        <f>C108+D107*H$58</f>
        <v>0</v>
      </c>
      <c r="E108" s="13">
        <f>D108+E107*I$58</f>
        <v>0</v>
      </c>
      <c r="F108" s="13">
        <f>E108+F107*J$58</f>
        <v>0</v>
      </c>
      <c r="G108" s="13">
        <f>F108+G107*K$58</f>
        <v>0</v>
      </c>
      <c r="H108" s="77"/>
      <c r="I108" s="14"/>
      <c r="J108" s="14"/>
      <c r="K108" s="14"/>
      <c r="L108" s="66"/>
    </row>
    <row r="109" spans="1:12" ht="15.75">
      <c r="A109" s="24" t="s">
        <v>131</v>
      </c>
      <c r="B109" s="17"/>
      <c r="C109" s="46"/>
      <c r="D109" s="17"/>
      <c r="E109" s="17"/>
      <c r="F109" s="17"/>
      <c r="G109" s="17"/>
      <c r="H109" s="69"/>
      <c r="I109" s="18"/>
      <c r="J109" s="18"/>
      <c r="K109" s="18"/>
      <c r="L109" s="26"/>
    </row>
    <row r="110" spans="1:12" ht="12.75">
      <c r="A110" s="24" t="s">
        <v>58</v>
      </c>
      <c r="B110" s="17"/>
      <c r="C110" s="46">
        <f>G$51</f>
        <v>7800.000000000001</v>
      </c>
      <c r="D110" s="17">
        <f>H$51</f>
        <v>8320</v>
      </c>
      <c r="E110" s="17">
        <f>I$51</f>
        <v>8840</v>
      </c>
      <c r="F110" s="17">
        <f>J$51</f>
        <v>9620.000000000002</v>
      </c>
      <c r="G110" s="17">
        <f>K$51</f>
        <v>10400</v>
      </c>
      <c r="H110" s="69">
        <f>(+C110*G$59/$F$26)*G$60</f>
        <v>3.900000000000002</v>
      </c>
      <c r="I110" s="18">
        <f aca="true" t="shared" si="11" ref="I110:L114">(H110/G$60+D110*H$59/$F$26)*H$60</f>
        <v>4.018181818181819</v>
      </c>
      <c r="J110" s="18">
        <f t="shared" si="11"/>
        <v>4.128571428571429</v>
      </c>
      <c r="K110" s="18">
        <f t="shared" si="11"/>
        <v>4.255514157973176</v>
      </c>
      <c r="L110" s="26">
        <f t="shared" si="11"/>
        <v>4.382433885185982</v>
      </c>
    </row>
    <row r="111" spans="1:12" ht="12.75">
      <c r="A111" s="24" t="s">
        <v>59</v>
      </c>
      <c r="B111" s="17"/>
      <c r="C111" s="46">
        <f>G$52</f>
        <v>1000</v>
      </c>
      <c r="D111" s="17">
        <f>H$52</f>
        <v>1000</v>
      </c>
      <c r="E111" s="17">
        <f>I$52</f>
        <v>1000</v>
      </c>
      <c r="F111" s="17">
        <f>J$52</f>
        <v>1000</v>
      </c>
      <c r="G111" s="17">
        <f>K$52</f>
        <v>1000</v>
      </c>
      <c r="H111" s="69">
        <f>(+C111*G$59/$F$26)*G$60</f>
        <v>0.5000000000000002</v>
      </c>
      <c r="I111" s="18">
        <f t="shared" si="11"/>
        <v>0.5000000000000001</v>
      </c>
      <c r="J111" s="18">
        <f t="shared" si="11"/>
        <v>0.5</v>
      </c>
      <c r="K111" s="18">
        <f t="shared" si="11"/>
        <v>0.5000000000000001</v>
      </c>
      <c r="L111" s="26">
        <f t="shared" si="11"/>
        <v>0.5</v>
      </c>
    </row>
    <row r="112" spans="1:12" ht="12.75">
      <c r="A112" s="24" t="s">
        <v>60</v>
      </c>
      <c r="B112" s="17"/>
      <c r="C112" s="46">
        <f>G$53</f>
        <v>6000</v>
      </c>
      <c r="D112" s="17">
        <f>H$53</f>
        <v>8000</v>
      </c>
      <c r="E112" s="17">
        <f>I$53</f>
        <v>10000</v>
      </c>
      <c r="F112" s="17">
        <f>J$53</f>
        <v>12400</v>
      </c>
      <c r="G112" s="17">
        <f>K$53</f>
        <v>15000</v>
      </c>
      <c r="H112" s="69">
        <f>(+C112*G$59/$F$26)*G$60</f>
        <v>3.0000000000000013</v>
      </c>
      <c r="I112" s="18">
        <f t="shared" si="11"/>
        <v>3.4545454545454555</v>
      </c>
      <c r="J112" s="18">
        <f t="shared" si="11"/>
        <v>3.879120879120879</v>
      </c>
      <c r="K112" s="18">
        <f t="shared" si="11"/>
        <v>4.311475409836066</v>
      </c>
      <c r="L112" s="26">
        <f t="shared" si="11"/>
        <v>4.739948398193937</v>
      </c>
    </row>
    <row r="113" spans="1:12" ht="12.75">
      <c r="A113" s="24" t="s">
        <v>26</v>
      </c>
      <c r="B113" s="20"/>
      <c r="C113" s="46">
        <f>G$54</f>
        <v>1600</v>
      </c>
      <c r="D113" s="17">
        <f>H$54</f>
        <v>1600</v>
      </c>
      <c r="E113" s="17">
        <f>I$54</f>
        <v>2400</v>
      </c>
      <c r="F113" s="17">
        <f>J$54</f>
        <v>4000</v>
      </c>
      <c r="G113" s="17">
        <f>K$54</f>
        <v>6400</v>
      </c>
      <c r="H113" s="69">
        <f>(+C113*G$59/$F$26)*G$60</f>
        <v>0.8000000000000004</v>
      </c>
      <c r="I113" s="18">
        <f t="shared" si="11"/>
        <v>0.8000000000000003</v>
      </c>
      <c r="J113" s="18">
        <f t="shared" si="11"/>
        <v>0.9098901098901099</v>
      </c>
      <c r="K113" s="18">
        <f t="shared" si="11"/>
        <v>1.1129657228017886</v>
      </c>
      <c r="L113" s="26">
        <f t="shared" si="11"/>
        <v>1.3934207697269405</v>
      </c>
    </row>
    <row r="114" spans="1:12" ht="12.75">
      <c r="A114" s="24" t="s">
        <v>61</v>
      </c>
      <c r="B114" s="20"/>
      <c r="C114" s="68"/>
      <c r="D114" s="13"/>
      <c r="E114" s="13"/>
      <c r="F114" s="13"/>
      <c r="G114" s="13"/>
      <c r="H114" s="77">
        <f>(+C114*G$59/$F$26)*G$60</f>
        <v>0</v>
      </c>
      <c r="I114" s="14">
        <f t="shared" si="11"/>
        <v>0</v>
      </c>
      <c r="J114" s="14">
        <f t="shared" si="11"/>
        <v>0</v>
      </c>
      <c r="K114" s="14">
        <f t="shared" si="11"/>
        <v>0</v>
      </c>
      <c r="L114" s="66">
        <f t="shared" si="11"/>
        <v>0</v>
      </c>
    </row>
    <row r="115" spans="1:12" ht="15.75">
      <c r="A115" s="24" t="s">
        <v>132</v>
      </c>
      <c r="B115" s="17"/>
      <c r="C115" s="46">
        <f aca="true" t="shared" si="12" ref="C115:L115">SUM(C110:C114)</f>
        <v>16400</v>
      </c>
      <c r="D115" s="17">
        <f t="shared" si="12"/>
        <v>18920</v>
      </c>
      <c r="E115" s="17">
        <f t="shared" si="12"/>
        <v>22240</v>
      </c>
      <c r="F115" s="17">
        <f t="shared" si="12"/>
        <v>27020</v>
      </c>
      <c r="G115" s="17">
        <f t="shared" si="12"/>
        <v>32800</v>
      </c>
      <c r="H115" s="69">
        <f t="shared" si="12"/>
        <v>8.200000000000005</v>
      </c>
      <c r="I115" s="18">
        <f t="shared" si="12"/>
        <v>8.772727272727275</v>
      </c>
      <c r="J115" s="18">
        <f t="shared" si="12"/>
        <v>9.417582417582418</v>
      </c>
      <c r="K115" s="18">
        <f t="shared" si="12"/>
        <v>10.17995529061103</v>
      </c>
      <c r="L115" s="26">
        <f t="shared" si="12"/>
        <v>11.015803053106861</v>
      </c>
    </row>
    <row r="116" spans="1:12" ht="15.75">
      <c r="A116" s="24" t="s">
        <v>136</v>
      </c>
      <c r="B116" s="17"/>
      <c r="C116" s="68">
        <f>B116+C115*G$59</f>
        <v>14991.827523842016</v>
      </c>
      <c r="D116" s="13">
        <f>C116+D115*H$59</f>
        <v>29404.702358755174</v>
      </c>
      <c r="E116" s="13">
        <f>D116+E115*I$59</f>
        <v>43523.02231684487</v>
      </c>
      <c r="F116" s="13">
        <f>E116+F115*J$59</f>
        <v>57816.97485235086</v>
      </c>
      <c r="G116" s="13">
        <f>F116+G115*K$59</f>
        <v>72276.6850412417</v>
      </c>
      <c r="H116" s="77"/>
      <c r="I116" s="14"/>
      <c r="J116" s="14"/>
      <c r="K116" s="14"/>
      <c r="L116" s="66"/>
    </row>
    <row r="117" spans="1:12" ht="12.75">
      <c r="A117" s="107" t="s">
        <v>126</v>
      </c>
      <c r="B117" s="108"/>
      <c r="C117" s="109">
        <v>1</v>
      </c>
      <c r="D117" s="74">
        <v>2</v>
      </c>
      <c r="E117" s="74">
        <v>3</v>
      </c>
      <c r="F117" s="74">
        <v>4</v>
      </c>
      <c r="G117" s="74">
        <v>5</v>
      </c>
      <c r="H117" s="110">
        <v>1</v>
      </c>
      <c r="I117" s="111">
        <v>2</v>
      </c>
      <c r="J117" s="111">
        <v>3</v>
      </c>
      <c r="K117" s="111">
        <v>4</v>
      </c>
      <c r="L117" s="112">
        <v>5</v>
      </c>
    </row>
    <row r="118" spans="1:12" ht="15.75">
      <c r="A118" s="24" t="s">
        <v>133</v>
      </c>
      <c r="B118" s="17"/>
      <c r="C118" s="46"/>
      <c r="D118" s="17"/>
      <c r="E118" s="17"/>
      <c r="F118" s="17"/>
      <c r="G118" s="20"/>
      <c r="H118" s="69"/>
      <c r="I118" s="18"/>
      <c r="J118" s="18"/>
      <c r="K118" s="18"/>
      <c r="L118" s="26"/>
    </row>
    <row r="119" spans="1:12" ht="12.75">
      <c r="A119" s="24" t="s">
        <v>66</v>
      </c>
      <c r="B119" s="17"/>
      <c r="C119" s="46">
        <f>-G$43</f>
        <v>-70000</v>
      </c>
      <c r="D119" s="17">
        <f>-H$43</f>
        <v>-50000</v>
      </c>
      <c r="E119" s="17">
        <f>-I$43</f>
        <v>-35000</v>
      </c>
      <c r="F119" s="17">
        <f>-J$43</f>
        <v>-25000</v>
      </c>
      <c r="G119" s="17">
        <f>-K$43</f>
        <v>-20000</v>
      </c>
      <c r="H119" s="69">
        <f aca="true" t="shared" si="13" ref="H119:L120">C119*G$58*G$60/$F$26</f>
        <v>-31.90627243894206</v>
      </c>
      <c r="I119" s="18">
        <f t="shared" si="13"/>
        <v>-10.359179363292874</v>
      </c>
      <c r="J119" s="18">
        <f t="shared" si="13"/>
        <v>-4.382729730623909</v>
      </c>
      <c r="K119" s="18">
        <f t="shared" si="13"/>
        <v>-2.122782656412475</v>
      </c>
      <c r="L119" s="26">
        <f t="shared" si="13"/>
        <v>-1.2250158352636167</v>
      </c>
    </row>
    <row r="120" spans="1:12" ht="12.75">
      <c r="A120" s="24" t="s">
        <v>67</v>
      </c>
      <c r="B120" s="20"/>
      <c r="C120" s="68">
        <f>G$57</f>
        <v>0</v>
      </c>
      <c r="D120" s="13">
        <f>H$57</f>
        <v>0</v>
      </c>
      <c r="E120" s="13">
        <f>I$57</f>
        <v>5000.000000000005</v>
      </c>
      <c r="F120" s="13">
        <f>J$57</f>
        <v>5000.000000000005</v>
      </c>
      <c r="G120" s="13">
        <f>K$57</f>
        <v>5000.000000000005</v>
      </c>
      <c r="H120" s="77">
        <f t="shared" si="13"/>
        <v>0</v>
      </c>
      <c r="I120" s="14">
        <f t="shared" si="13"/>
        <v>0</v>
      </c>
      <c r="J120" s="14">
        <f t="shared" si="13"/>
        <v>0.6261042472319875</v>
      </c>
      <c r="K120" s="14">
        <f t="shared" si="13"/>
        <v>0.4245565312824953</v>
      </c>
      <c r="L120" s="66">
        <f t="shared" si="13"/>
        <v>0.30625395881590445</v>
      </c>
    </row>
    <row r="121" spans="1:12" ht="12.75">
      <c r="A121" s="24" t="s">
        <v>122</v>
      </c>
      <c r="B121" s="20"/>
      <c r="C121" s="46">
        <f>SUM(C119:C120)</f>
        <v>-70000</v>
      </c>
      <c r="D121" s="17">
        <f>SUM(D119:D120)</f>
        <v>-50000</v>
      </c>
      <c r="E121" s="17">
        <f>SUM(E119:E120)</f>
        <v>-29999.999999999996</v>
      </c>
      <c r="F121" s="17">
        <f>SUM(F119:F120)</f>
        <v>-19999.999999999996</v>
      </c>
      <c r="G121" s="17">
        <f>SUM(G119:G120)</f>
        <v>-14999.999999999996</v>
      </c>
      <c r="H121" s="69"/>
      <c r="I121" s="18"/>
      <c r="J121" s="18"/>
      <c r="K121" s="18"/>
      <c r="L121" s="26"/>
    </row>
    <row r="122" spans="1:12" ht="16.5" thickBot="1">
      <c r="A122" s="70" t="s">
        <v>135</v>
      </c>
      <c r="B122" s="71"/>
      <c r="C122" s="72">
        <f>C121*G$58</f>
        <v>-58333.333333333336</v>
      </c>
      <c r="D122" s="15">
        <f>D121*H$58</f>
        <v>-34722.22222222222</v>
      </c>
      <c r="E122" s="15">
        <f>E121*I$58</f>
        <v>-17361.11111111111</v>
      </c>
      <c r="F122" s="15">
        <f>F121*J$58</f>
        <v>-9645.061728395061</v>
      </c>
      <c r="G122" s="15">
        <f>G121*K$58</f>
        <v>-6028.163580246912</v>
      </c>
      <c r="H122" s="78">
        <f>SUM(H119:H120)</f>
        <v>-31.90627243894206</v>
      </c>
      <c r="I122" s="16">
        <f>SUM(I119:I120)</f>
        <v>-10.359179363292874</v>
      </c>
      <c r="J122" s="16">
        <f>SUM(J119:J120)</f>
        <v>-3.7566254833919217</v>
      </c>
      <c r="K122" s="16">
        <f>SUM(K119:K120)</f>
        <v>-1.6982261251299797</v>
      </c>
      <c r="L122" s="73">
        <f>SUM(L119:L120)</f>
        <v>-0.9187618764477122</v>
      </c>
    </row>
    <row r="123" spans="1:12" ht="13.5" thickTop="1">
      <c r="A123" s="24" t="s">
        <v>138</v>
      </c>
      <c r="B123" s="20"/>
      <c r="C123" s="46">
        <f>C104+C108+C116+C122</f>
        <v>70458.49419050867</v>
      </c>
      <c r="D123" s="17">
        <f>D104+D108+D116+D122</f>
        <v>118482.48013653295</v>
      </c>
      <c r="E123" s="17">
        <f>E104+E108+E116+E122</f>
        <v>157461.91120573378</v>
      </c>
      <c r="F123" s="17">
        <f>F104+F108+F116+F122</f>
        <v>185201.07979062246</v>
      </c>
      <c r="G123" s="17">
        <f>G104+G108+G116+G122</f>
        <v>207762.64183136515</v>
      </c>
      <c r="H123" s="69"/>
      <c r="I123" s="18"/>
      <c r="J123" s="18"/>
      <c r="K123" s="18"/>
      <c r="L123" s="26"/>
    </row>
    <row r="124" spans="1:12" ht="13.5" thickBot="1">
      <c r="A124" s="27" t="s">
        <v>124</v>
      </c>
      <c r="B124" s="28"/>
      <c r="C124" s="105">
        <f>C123*((1+$F$18)^C$63)*(LN(1+$F$18)/(((1+$F$18)^C$63)-1))/$F$26</f>
        <v>38.53830705051405</v>
      </c>
      <c r="D124" s="67">
        <f>D123*((1+$F$18)^D$63)*(LN(1+$F$18)/(((1+$F$18)^D$63)-1))/$F$26</f>
        <v>35.34858037849335</v>
      </c>
      <c r="E124" s="67">
        <f>E123*((1+$F$18)^E$63)*(LN(1+$F$18)/(((1+$F$18)^E$63)-1))/$F$26</f>
        <v>34.0718646700256</v>
      </c>
      <c r="F124" s="67">
        <f>F123*((1+$F$18)^F$63)*(LN(1+$F$18)/(((1+$F$18)^F$63)-1))/$F$26</f>
        <v>32.60874019880969</v>
      </c>
      <c r="G124" s="67">
        <f>G123*((1+$F$18)^G$63)*(LN(1+$F$18)/(((1+$F$18)^G$63)-1))/$F$26</f>
        <v>31.665430462140915</v>
      </c>
      <c r="H124" s="105">
        <f>H103+H107+H115+H122</f>
        <v>38.53830705051406</v>
      </c>
      <c r="I124" s="67">
        <f>I103+I107+I115+I122</f>
        <v>35.34858037849335</v>
      </c>
      <c r="J124" s="67">
        <f>J103+J107+J115+J122</f>
        <v>34.07186467002559</v>
      </c>
      <c r="K124" s="67">
        <f>K103+K107+K115+K122</f>
        <v>32.6087401988097</v>
      </c>
      <c r="L124" s="106">
        <f>L103+L107+L115+L122</f>
        <v>31.665430462140918</v>
      </c>
    </row>
    <row r="125" spans="1:12" ht="13.5" thickBot="1">
      <c r="A125" s="89" t="s">
        <v>153</v>
      </c>
      <c r="B125" s="50"/>
      <c r="C125" s="50"/>
      <c r="D125" s="50"/>
      <c r="E125" s="50"/>
      <c r="F125" s="50"/>
      <c r="G125" s="50"/>
      <c r="H125" s="92"/>
      <c r="I125" s="92"/>
      <c r="J125" s="92"/>
      <c r="K125" s="92"/>
      <c r="L125" s="93"/>
    </row>
    <row r="126" spans="3:12" ht="12.75">
      <c r="C126" s="52"/>
      <c r="D126" s="30"/>
      <c r="E126" s="53" t="s">
        <v>19</v>
      </c>
      <c r="F126" s="30"/>
      <c r="G126" s="37"/>
      <c r="H126" s="52"/>
      <c r="I126" s="30"/>
      <c r="J126" s="53" t="s">
        <v>43</v>
      </c>
      <c r="K126" s="30"/>
      <c r="L126" s="37"/>
    </row>
    <row r="127" spans="2:12" ht="12.75">
      <c r="B127" s="2"/>
      <c r="C127" s="85">
        <v>1</v>
      </c>
      <c r="D127" s="86">
        <v>2</v>
      </c>
      <c r="E127" s="86">
        <v>3</v>
      </c>
      <c r="F127" s="86">
        <v>4</v>
      </c>
      <c r="G127" s="87">
        <v>5</v>
      </c>
      <c r="H127" s="85">
        <v>1</v>
      </c>
      <c r="I127" s="86">
        <v>2</v>
      </c>
      <c r="J127" s="86">
        <v>3</v>
      </c>
      <c r="K127" s="86">
        <v>4</v>
      </c>
      <c r="L127" s="87">
        <v>5</v>
      </c>
    </row>
    <row r="128" spans="1:12" ht="12.75">
      <c r="A128" s="3" t="s">
        <v>79</v>
      </c>
      <c r="C128" s="57"/>
      <c r="D128" s="58"/>
      <c r="E128" s="86" t="s">
        <v>45</v>
      </c>
      <c r="F128" s="58"/>
      <c r="G128" s="56"/>
      <c r="H128" s="77"/>
      <c r="I128" s="58"/>
      <c r="J128" s="86" t="s">
        <v>46</v>
      </c>
      <c r="K128" s="58"/>
      <c r="L128" s="56"/>
    </row>
    <row r="129" spans="1:12" ht="12.75">
      <c r="A129" t="s">
        <v>78</v>
      </c>
      <c r="C129" s="46">
        <f>G45</f>
        <v>30000</v>
      </c>
      <c r="D129" s="17">
        <f>H45</f>
        <v>20000</v>
      </c>
      <c r="E129" s="17">
        <f>I45</f>
        <v>15000</v>
      </c>
      <c r="F129" s="17">
        <f>J45</f>
        <v>10000</v>
      </c>
      <c r="G129" s="25">
        <f>K45</f>
        <v>5000</v>
      </c>
      <c r="H129" s="69">
        <f aca="true" t="shared" si="14" ref="H129:H138">C129/$F$26</f>
        <v>15</v>
      </c>
      <c r="I129" s="18">
        <f aca="true" t="shared" si="15" ref="I129:I138">(H129*$F$26*H$127+D129)/(I$127*$F$26)</f>
        <v>12.5</v>
      </c>
      <c r="J129" s="18">
        <f aca="true" t="shared" si="16" ref="J129:J138">(I129*$F$26*I$127+E129)/(J$127*$F$26)</f>
        <v>10.833333333333334</v>
      </c>
      <c r="K129" s="18">
        <f aca="true" t="shared" si="17" ref="K129:K138">(J129*$F$26*J$127+F129)/(K$127*$F$26)</f>
        <v>9.375</v>
      </c>
      <c r="L129" s="26">
        <f aca="true" t="shared" si="18" ref="L129:L138">(K129*$F$26*K$127+G129)/(L$127*$F$26)</f>
        <v>8</v>
      </c>
    </row>
    <row r="130" spans="1:12" ht="12.75">
      <c r="A130" s="3" t="s">
        <v>121</v>
      </c>
      <c r="C130" s="46">
        <f>G48</f>
        <v>17000</v>
      </c>
      <c r="D130" s="17">
        <f>H48</f>
        <v>12000</v>
      </c>
      <c r="E130" s="17">
        <f>I48</f>
        <v>8500</v>
      </c>
      <c r="F130" s="17">
        <f>J48</f>
        <v>6000</v>
      </c>
      <c r="G130" s="25">
        <f>K48</f>
        <v>4500</v>
      </c>
      <c r="H130" s="69">
        <f t="shared" si="14"/>
        <v>8.5</v>
      </c>
      <c r="I130" s="18">
        <f t="shared" si="15"/>
        <v>7.25</v>
      </c>
      <c r="J130" s="18">
        <f t="shared" si="16"/>
        <v>6.25</v>
      </c>
      <c r="K130" s="18">
        <f t="shared" si="17"/>
        <v>5.4375</v>
      </c>
      <c r="L130" s="26">
        <f t="shared" si="18"/>
        <v>4.8</v>
      </c>
    </row>
    <row r="131" spans="1:12" ht="12.75">
      <c r="A131" s="3" t="s">
        <v>47</v>
      </c>
      <c r="C131" s="46">
        <f>G47</f>
        <v>6000</v>
      </c>
      <c r="D131" s="17">
        <f>H47</f>
        <v>4200</v>
      </c>
      <c r="E131" s="17">
        <f>I47</f>
        <v>3000</v>
      </c>
      <c r="F131" s="17">
        <f>J47</f>
        <v>2100</v>
      </c>
      <c r="G131" s="25">
        <f>K47</f>
        <v>1500</v>
      </c>
      <c r="H131" s="69">
        <f t="shared" si="14"/>
        <v>3</v>
      </c>
      <c r="I131" s="18">
        <f t="shared" si="15"/>
        <v>2.55</v>
      </c>
      <c r="J131" s="18">
        <f t="shared" si="16"/>
        <v>2.2</v>
      </c>
      <c r="K131" s="18">
        <f t="shared" si="17"/>
        <v>1.9125</v>
      </c>
      <c r="L131" s="26">
        <f t="shared" si="18"/>
        <v>1.68</v>
      </c>
    </row>
    <row r="132" spans="1:12" ht="12.75">
      <c r="A132" s="3" t="s">
        <v>48</v>
      </c>
      <c r="C132" s="46">
        <f>G50</f>
        <v>7800.000000000001</v>
      </c>
      <c r="D132" s="17">
        <f>H50</f>
        <v>7800.000000000001</v>
      </c>
      <c r="E132" s="17">
        <f>I50</f>
        <v>7800.000000000001</v>
      </c>
      <c r="F132" s="17">
        <f>J50</f>
        <v>7800.000000000001</v>
      </c>
      <c r="G132" s="25">
        <f>K50</f>
        <v>7800.000000000001</v>
      </c>
      <c r="H132" s="69">
        <f t="shared" si="14"/>
        <v>3.9000000000000004</v>
      </c>
      <c r="I132" s="18">
        <f t="shared" si="15"/>
        <v>3.9000000000000004</v>
      </c>
      <c r="J132" s="18">
        <f t="shared" si="16"/>
        <v>3.900000000000001</v>
      </c>
      <c r="K132" s="18">
        <f t="shared" si="17"/>
        <v>3.900000000000001</v>
      </c>
      <c r="L132" s="26">
        <f t="shared" si="18"/>
        <v>3.900000000000001</v>
      </c>
    </row>
    <row r="133" spans="1:12" ht="12.75">
      <c r="A133" s="3" t="s">
        <v>108</v>
      </c>
      <c r="C133" s="46">
        <f>G49</f>
        <v>-10500</v>
      </c>
      <c r="D133" s="17">
        <f>H49</f>
        <v>-7000</v>
      </c>
      <c r="E133" s="17">
        <f>I49</f>
        <v>-5250</v>
      </c>
      <c r="F133" s="17">
        <f>J49</f>
        <v>-3500</v>
      </c>
      <c r="G133" s="25">
        <f>K49</f>
        <v>-1750</v>
      </c>
      <c r="H133" s="69">
        <f t="shared" si="14"/>
        <v>-5.25</v>
      </c>
      <c r="I133" s="18">
        <f t="shared" si="15"/>
        <v>-4.375</v>
      </c>
      <c r="J133" s="18">
        <f t="shared" si="16"/>
        <v>-3.7916666666666665</v>
      </c>
      <c r="K133" s="18">
        <f t="shared" si="17"/>
        <v>-3.28125</v>
      </c>
      <c r="L133" s="26">
        <f t="shared" si="18"/>
        <v>-2.8</v>
      </c>
    </row>
    <row r="134" spans="1:12" ht="12.75">
      <c r="A134" s="3" t="s">
        <v>58</v>
      </c>
      <c r="C134" s="46">
        <f aca="true" t="shared" si="19" ref="C134:G137">G51</f>
        <v>7800.000000000001</v>
      </c>
      <c r="D134" s="17">
        <f t="shared" si="19"/>
        <v>8320</v>
      </c>
      <c r="E134" s="17">
        <f t="shared" si="19"/>
        <v>8840</v>
      </c>
      <c r="F134" s="17">
        <f t="shared" si="19"/>
        <v>9620.000000000002</v>
      </c>
      <c r="G134" s="25">
        <f t="shared" si="19"/>
        <v>10400</v>
      </c>
      <c r="H134" s="69">
        <f t="shared" si="14"/>
        <v>3.9000000000000004</v>
      </c>
      <c r="I134" s="18">
        <f t="shared" si="15"/>
        <v>4.03</v>
      </c>
      <c r="J134" s="18">
        <f t="shared" si="16"/>
        <v>4.16</v>
      </c>
      <c r="K134" s="18">
        <f t="shared" si="17"/>
        <v>4.3225</v>
      </c>
      <c r="L134" s="26">
        <f t="shared" si="18"/>
        <v>4.498</v>
      </c>
    </row>
    <row r="135" spans="1:12" ht="12.75">
      <c r="A135" s="3" t="s">
        <v>59</v>
      </c>
      <c r="C135" s="46">
        <f t="shared" si="19"/>
        <v>1000</v>
      </c>
      <c r="D135" s="17">
        <f t="shared" si="19"/>
        <v>1000</v>
      </c>
      <c r="E135" s="17">
        <f t="shared" si="19"/>
        <v>1000</v>
      </c>
      <c r="F135" s="17">
        <f t="shared" si="19"/>
        <v>1000</v>
      </c>
      <c r="G135" s="25">
        <f t="shared" si="19"/>
        <v>1000</v>
      </c>
      <c r="H135" s="69">
        <f t="shared" si="14"/>
        <v>0.5</v>
      </c>
      <c r="I135" s="18">
        <f t="shared" si="15"/>
        <v>0.5</v>
      </c>
      <c r="J135" s="18">
        <f t="shared" si="16"/>
        <v>0.5</v>
      </c>
      <c r="K135" s="18">
        <f t="shared" si="17"/>
        <v>0.5</v>
      </c>
      <c r="L135" s="26">
        <f t="shared" si="18"/>
        <v>0.5</v>
      </c>
    </row>
    <row r="136" spans="1:12" ht="12.75">
      <c r="A136" s="3" t="s">
        <v>60</v>
      </c>
      <c r="C136" s="46">
        <f t="shared" si="19"/>
        <v>6000</v>
      </c>
      <c r="D136" s="17">
        <f t="shared" si="19"/>
        <v>8000</v>
      </c>
      <c r="E136" s="17">
        <f t="shared" si="19"/>
        <v>10000</v>
      </c>
      <c r="F136" s="17">
        <f t="shared" si="19"/>
        <v>12400</v>
      </c>
      <c r="G136" s="25">
        <f t="shared" si="19"/>
        <v>15000</v>
      </c>
      <c r="H136" s="69">
        <f t="shared" si="14"/>
        <v>3</v>
      </c>
      <c r="I136" s="18">
        <f t="shared" si="15"/>
        <v>3.5</v>
      </c>
      <c r="J136" s="18">
        <f t="shared" si="16"/>
        <v>4</v>
      </c>
      <c r="K136" s="18">
        <f t="shared" si="17"/>
        <v>4.55</v>
      </c>
      <c r="L136" s="26">
        <f t="shared" si="18"/>
        <v>5.14</v>
      </c>
    </row>
    <row r="137" spans="1:12" ht="12.75">
      <c r="A137" s="3" t="s">
        <v>26</v>
      </c>
      <c r="C137" s="46">
        <f t="shared" si="19"/>
        <v>1600</v>
      </c>
      <c r="D137" s="17">
        <f t="shared" si="19"/>
        <v>1600</v>
      </c>
      <c r="E137" s="17">
        <f t="shared" si="19"/>
        <v>2400</v>
      </c>
      <c r="F137" s="17">
        <f t="shared" si="19"/>
        <v>4000</v>
      </c>
      <c r="G137" s="25">
        <f t="shared" si="19"/>
        <v>6400</v>
      </c>
      <c r="H137" s="69">
        <f t="shared" si="14"/>
        <v>0.8</v>
      </c>
      <c r="I137" s="18">
        <f t="shared" si="15"/>
        <v>0.8</v>
      </c>
      <c r="J137" s="18">
        <f t="shared" si="16"/>
        <v>0.9333333333333333</v>
      </c>
      <c r="K137" s="18">
        <f t="shared" si="17"/>
        <v>1.2</v>
      </c>
      <c r="L137" s="26">
        <f t="shared" si="18"/>
        <v>1.6</v>
      </c>
    </row>
    <row r="138" spans="1:12" s="20" customFormat="1" ht="12.75">
      <c r="A138" s="19" t="s">
        <v>61</v>
      </c>
      <c r="C138" s="68">
        <f>G56</f>
        <v>0</v>
      </c>
      <c r="D138" s="13">
        <f>H56</f>
        <v>2067.2000000000016</v>
      </c>
      <c r="E138" s="13">
        <f>I56</f>
        <v>23608.49600000001</v>
      </c>
      <c r="F138" s="13">
        <f>J56</f>
        <v>31105.93600000001</v>
      </c>
      <c r="G138" s="94">
        <f>K56</f>
        <v>41472.80000000004</v>
      </c>
      <c r="H138" s="77">
        <f t="shared" si="14"/>
        <v>0</v>
      </c>
      <c r="I138" s="14">
        <f t="shared" si="15"/>
        <v>0.5168000000000004</v>
      </c>
      <c r="J138" s="14">
        <f t="shared" si="16"/>
        <v>4.279282666666669</v>
      </c>
      <c r="K138" s="14">
        <f t="shared" si="17"/>
        <v>7.097704000000002</v>
      </c>
      <c r="L138" s="66">
        <f t="shared" si="18"/>
        <v>9.825443200000006</v>
      </c>
    </row>
    <row r="139" spans="1:12" ht="12.75">
      <c r="A139" t="s">
        <v>103</v>
      </c>
      <c r="C139" s="46">
        <f>SUM(C129:C138)</f>
        <v>66700</v>
      </c>
      <c r="D139" s="17">
        <f>SUM(D129:D138)</f>
        <v>57987.200000000004</v>
      </c>
      <c r="E139" s="17">
        <f>SUM(E129:E138)</f>
        <v>74898.49600000001</v>
      </c>
      <c r="F139" s="17">
        <f>SUM(F129:F138)</f>
        <v>80525.93600000002</v>
      </c>
      <c r="G139" s="25">
        <f>SUM(G129:G138)</f>
        <v>91322.80000000005</v>
      </c>
      <c r="H139" s="69"/>
      <c r="I139" s="18"/>
      <c r="J139" s="18"/>
      <c r="K139" s="18"/>
      <c r="L139" s="26"/>
    </row>
    <row r="140" spans="1:12" ht="12.75">
      <c r="A140" s="58" t="s">
        <v>104</v>
      </c>
      <c r="B140" s="58"/>
      <c r="C140" s="68">
        <f>B140+C139</f>
        <v>66700</v>
      </c>
      <c r="D140" s="13">
        <f>C140+D139</f>
        <v>124687.20000000001</v>
      </c>
      <c r="E140" s="13">
        <f>D140+E139</f>
        <v>199585.69600000003</v>
      </c>
      <c r="F140" s="13">
        <f>E140+F139</f>
        <v>280111.63200000004</v>
      </c>
      <c r="G140" s="94">
        <f>F140+G139</f>
        <v>371434.4320000001</v>
      </c>
      <c r="H140" s="77"/>
      <c r="I140" s="14"/>
      <c r="J140" s="14"/>
      <c r="K140" s="14"/>
      <c r="L140" s="66"/>
    </row>
    <row r="141" spans="1:12" ht="12.75">
      <c r="A141" s="3" t="s">
        <v>80</v>
      </c>
      <c r="C141" s="46"/>
      <c r="D141" s="17"/>
      <c r="E141" s="17"/>
      <c r="F141" s="17"/>
      <c r="G141" s="25"/>
      <c r="H141" s="35"/>
      <c r="I141" s="20"/>
      <c r="J141" s="20"/>
      <c r="K141" s="20"/>
      <c r="L141" s="44"/>
    </row>
    <row r="142" spans="1:12" s="20" customFormat="1" ht="13.5" thickBot="1">
      <c r="A142" s="91" t="s">
        <v>67</v>
      </c>
      <c r="B142" s="71"/>
      <c r="C142" s="72">
        <f>G57</f>
        <v>0</v>
      </c>
      <c r="D142" s="15">
        <f>H57</f>
        <v>0</v>
      </c>
      <c r="E142" s="15">
        <f>I57</f>
        <v>5000.000000000005</v>
      </c>
      <c r="F142" s="15">
        <f>J57</f>
        <v>5000.000000000005</v>
      </c>
      <c r="G142" s="95">
        <f>K57</f>
        <v>5000.000000000005</v>
      </c>
      <c r="H142" s="78">
        <f>C142/($F$26*H127)</f>
        <v>0</v>
      </c>
      <c r="I142" s="16">
        <f>D142/($F$26*I127)</f>
        <v>0</v>
      </c>
      <c r="J142" s="16">
        <f>E142/($F$26*J127)</f>
        <v>0.833333333333334</v>
      </c>
      <c r="K142" s="16">
        <f>F142/($F$26*K127)</f>
        <v>0.6250000000000006</v>
      </c>
      <c r="L142" s="73">
        <f>G142/($F$26*L127)</f>
        <v>0.5000000000000004</v>
      </c>
    </row>
    <row r="143" spans="1:12" ht="13.5" thickTop="1">
      <c r="A143" t="s">
        <v>107</v>
      </c>
      <c r="C143" s="46">
        <f>C140+C142</f>
        <v>66700</v>
      </c>
      <c r="D143" s="17">
        <f>D140+D142</f>
        <v>124687.20000000001</v>
      </c>
      <c r="E143" s="17">
        <f>E140+E142</f>
        <v>204585.69600000003</v>
      </c>
      <c r="F143" s="17">
        <f>F140+F142</f>
        <v>285111.63200000004</v>
      </c>
      <c r="G143" s="25">
        <f>G140+G142</f>
        <v>376434.4320000001</v>
      </c>
      <c r="H143" s="35"/>
      <c r="I143" s="20"/>
      <c r="J143" s="20"/>
      <c r="K143" s="20"/>
      <c r="L143" s="44"/>
    </row>
    <row r="144" spans="1:12" ht="12.75">
      <c r="A144" t="s">
        <v>105</v>
      </c>
      <c r="C144" s="69">
        <f>C143/($F$26*C127)</f>
        <v>33.35</v>
      </c>
      <c r="D144" s="18">
        <f>D143/($F$26*D127)</f>
        <v>31.171800000000005</v>
      </c>
      <c r="E144" s="18">
        <f>E143/($F$26*E127)</f>
        <v>34.097616</v>
      </c>
      <c r="F144" s="18">
        <f>F143/($F$26*F127)</f>
        <v>35.638954000000005</v>
      </c>
      <c r="G144" s="26">
        <f>G143/($F$26*G127)</f>
        <v>37.64344320000001</v>
      </c>
      <c r="H144" s="69">
        <f>SUM(H129:H142)</f>
        <v>33.349999999999994</v>
      </c>
      <c r="I144" s="18">
        <f>SUM(I129:I142)</f>
        <v>31.171800000000005</v>
      </c>
      <c r="J144" s="18">
        <f>SUM(J129:J142)</f>
        <v>34.09761600000001</v>
      </c>
      <c r="K144" s="18">
        <f>SUM(K129:K142)</f>
        <v>35.638954000000005</v>
      </c>
      <c r="L144" s="26">
        <f>SUM(L129:L142)</f>
        <v>37.64344320000001</v>
      </c>
    </row>
    <row r="145" spans="1:12" ht="13.5" thickBot="1">
      <c r="A145" s="27" t="s">
        <v>91</v>
      </c>
      <c r="B145" s="67"/>
      <c r="C145" s="96">
        <v>1</v>
      </c>
      <c r="D145" s="97">
        <v>2</v>
      </c>
      <c r="E145" s="97">
        <v>3</v>
      </c>
      <c r="F145" s="97">
        <v>4</v>
      </c>
      <c r="G145" s="101">
        <v>5</v>
      </c>
      <c r="H145" s="98">
        <v>1</v>
      </c>
      <c r="I145" s="99">
        <v>2</v>
      </c>
      <c r="J145" s="99">
        <v>3</v>
      </c>
      <c r="K145" s="99">
        <v>4</v>
      </c>
      <c r="L145" s="100">
        <v>5</v>
      </c>
    </row>
    <row r="146" spans="1:12" ht="12.75">
      <c r="A146" s="52"/>
      <c r="B146" s="30"/>
      <c r="C146" s="30"/>
      <c r="D146" s="30"/>
      <c r="E146" s="132"/>
      <c r="F146" s="132"/>
      <c r="G146" s="132"/>
      <c r="H146" s="132"/>
      <c r="I146" s="132"/>
      <c r="J146" s="30"/>
      <c r="K146" s="30"/>
      <c r="L146" s="37"/>
    </row>
    <row r="147" spans="1:12" ht="13.5" thickBot="1">
      <c r="A147" s="36"/>
      <c r="B147" s="28"/>
      <c r="C147" s="28"/>
      <c r="D147" s="28"/>
      <c r="E147" s="67"/>
      <c r="F147" s="67"/>
      <c r="G147" s="67"/>
      <c r="H147" s="67"/>
      <c r="I147" s="67"/>
      <c r="J147" s="28"/>
      <c r="K147" s="28"/>
      <c r="L147" s="45"/>
    </row>
    <row r="148" spans="1:12" ht="13.5" thickBot="1">
      <c r="A148" s="89" t="s">
        <v>154</v>
      </c>
      <c r="B148" s="50"/>
      <c r="C148" s="50"/>
      <c r="D148" s="50"/>
      <c r="E148" s="50"/>
      <c r="F148" s="50"/>
      <c r="G148" s="50"/>
      <c r="H148" s="92"/>
      <c r="I148" s="92"/>
      <c r="J148" s="92"/>
      <c r="K148" s="92"/>
      <c r="L148" s="93"/>
    </row>
    <row r="149" spans="3:12" ht="12.75">
      <c r="C149" s="52"/>
      <c r="D149" s="30"/>
      <c r="E149" s="53" t="s">
        <v>19</v>
      </c>
      <c r="F149" s="30"/>
      <c r="G149" s="37"/>
      <c r="H149" s="52"/>
      <c r="I149" s="30"/>
      <c r="J149" s="53" t="s">
        <v>43</v>
      </c>
      <c r="K149" s="30"/>
      <c r="L149" s="37"/>
    </row>
    <row r="150" spans="2:12" ht="12.75">
      <c r="B150" s="2"/>
      <c r="C150" s="85">
        <v>1</v>
      </c>
      <c r="D150" s="86">
        <v>2</v>
      </c>
      <c r="E150" s="86">
        <v>3</v>
      </c>
      <c r="F150" s="86">
        <v>4</v>
      </c>
      <c r="G150" s="87">
        <v>5</v>
      </c>
      <c r="H150" s="85">
        <v>1</v>
      </c>
      <c r="I150" s="86">
        <v>2</v>
      </c>
      <c r="J150" s="86">
        <v>3</v>
      </c>
      <c r="K150" s="86">
        <v>4</v>
      </c>
      <c r="L150" s="87">
        <v>5</v>
      </c>
    </row>
    <row r="151" spans="1:12" ht="12.75">
      <c r="A151" s="3" t="s">
        <v>79</v>
      </c>
      <c r="C151" s="57"/>
      <c r="D151" s="58"/>
      <c r="E151" s="86" t="s">
        <v>45</v>
      </c>
      <c r="F151" s="58"/>
      <c r="G151" s="56"/>
      <c r="H151" s="77"/>
      <c r="I151" s="58"/>
      <c r="J151" s="86" t="s">
        <v>46</v>
      </c>
      <c r="K151" s="58"/>
      <c r="L151" s="56"/>
    </row>
    <row r="152" spans="1:12" ht="12.75">
      <c r="A152" t="s">
        <v>78</v>
      </c>
      <c r="C152" s="46">
        <f>G45</f>
        <v>30000</v>
      </c>
      <c r="D152" s="17">
        <f>H45</f>
        <v>20000</v>
      </c>
      <c r="E152" s="17">
        <f>I45</f>
        <v>15000</v>
      </c>
      <c r="F152" s="17">
        <f>J45</f>
        <v>10000</v>
      </c>
      <c r="G152" s="25">
        <f>K45</f>
        <v>5000</v>
      </c>
      <c r="H152" s="69">
        <f aca="true" t="shared" si="20" ref="H152:H161">C152/$F$26</f>
        <v>15</v>
      </c>
      <c r="I152" s="18">
        <f aca="true" t="shared" si="21" ref="I152:I161">(H152*$F$26*H$127+D152)/(I$127*$F$26)</f>
        <v>12.5</v>
      </c>
      <c r="J152" s="18">
        <f aca="true" t="shared" si="22" ref="J152:J161">(I152*$F$26*I$127+E152)/(J$127*$F$26)</f>
        <v>10.833333333333334</v>
      </c>
      <c r="K152" s="18">
        <f aca="true" t="shared" si="23" ref="K152:K161">(J152*$F$26*J$127+F152)/(K$127*$F$26)</f>
        <v>9.375</v>
      </c>
      <c r="L152" s="26">
        <f aca="true" t="shared" si="24" ref="L152:L161">(K152*$F$26*K$127+G152)/(L$127*$F$26)</f>
        <v>8</v>
      </c>
    </row>
    <row r="153" spans="1:12" ht="12.75">
      <c r="A153" s="3" t="s">
        <v>121</v>
      </c>
      <c r="C153" s="46">
        <f>G48</f>
        <v>17000</v>
      </c>
      <c r="D153" s="17">
        <f>H48</f>
        <v>12000</v>
      </c>
      <c r="E153" s="17">
        <f>I48</f>
        <v>8500</v>
      </c>
      <c r="F153" s="17">
        <f>J48</f>
        <v>6000</v>
      </c>
      <c r="G153" s="25">
        <f>K48</f>
        <v>4500</v>
      </c>
      <c r="H153" s="69">
        <f t="shared" si="20"/>
        <v>8.5</v>
      </c>
      <c r="I153" s="18">
        <f t="shared" si="21"/>
        <v>7.25</v>
      </c>
      <c r="J153" s="18">
        <f t="shared" si="22"/>
        <v>6.25</v>
      </c>
      <c r="K153" s="18">
        <f t="shared" si="23"/>
        <v>5.4375</v>
      </c>
      <c r="L153" s="26">
        <f t="shared" si="24"/>
        <v>4.8</v>
      </c>
    </row>
    <row r="154" spans="1:12" ht="12.75">
      <c r="A154" s="3" t="s">
        <v>47</v>
      </c>
      <c r="C154" s="46">
        <f>G47</f>
        <v>6000</v>
      </c>
      <c r="D154" s="17">
        <f>H47</f>
        <v>4200</v>
      </c>
      <c r="E154" s="17">
        <f>I47</f>
        <v>3000</v>
      </c>
      <c r="F154" s="17">
        <f>J47</f>
        <v>2100</v>
      </c>
      <c r="G154" s="25">
        <f>K47</f>
        <v>1500</v>
      </c>
      <c r="H154" s="69">
        <f t="shared" si="20"/>
        <v>3</v>
      </c>
      <c r="I154" s="18">
        <f t="shared" si="21"/>
        <v>2.55</v>
      </c>
      <c r="J154" s="18">
        <f t="shared" si="22"/>
        <v>2.2</v>
      </c>
      <c r="K154" s="18">
        <f t="shared" si="23"/>
        <v>1.9125</v>
      </c>
      <c r="L154" s="26">
        <f t="shared" si="24"/>
        <v>1.68</v>
      </c>
    </row>
    <row r="155" spans="1:12" ht="12.75">
      <c r="A155" s="3" t="s">
        <v>48</v>
      </c>
      <c r="C155" s="46">
        <f>G50</f>
        <v>7800.000000000001</v>
      </c>
      <c r="D155" s="17">
        <f>H50</f>
        <v>7800.000000000001</v>
      </c>
      <c r="E155" s="17">
        <f>I50</f>
        <v>7800.000000000001</v>
      </c>
      <c r="F155" s="17">
        <f>J50</f>
        <v>7800.000000000001</v>
      </c>
      <c r="G155" s="25">
        <f>K50</f>
        <v>7800.000000000001</v>
      </c>
      <c r="H155" s="69">
        <f t="shared" si="20"/>
        <v>3.9000000000000004</v>
      </c>
      <c r="I155" s="18">
        <f t="shared" si="21"/>
        <v>3.9000000000000004</v>
      </c>
      <c r="J155" s="18">
        <f t="shared" si="22"/>
        <v>3.900000000000001</v>
      </c>
      <c r="K155" s="18">
        <f t="shared" si="23"/>
        <v>3.900000000000001</v>
      </c>
      <c r="L155" s="26">
        <f t="shared" si="24"/>
        <v>3.900000000000001</v>
      </c>
    </row>
    <row r="156" spans="1:12" ht="12.75">
      <c r="A156" s="3" t="s">
        <v>108</v>
      </c>
      <c r="C156" s="46"/>
      <c r="D156" s="17"/>
      <c r="E156" s="17"/>
      <c r="F156" s="17"/>
      <c r="G156" s="25"/>
      <c r="H156" s="69">
        <f t="shared" si="20"/>
        <v>0</v>
      </c>
      <c r="I156" s="18">
        <f t="shared" si="21"/>
        <v>0</v>
      </c>
      <c r="J156" s="18">
        <f t="shared" si="22"/>
        <v>0</v>
      </c>
      <c r="K156" s="18">
        <f t="shared" si="23"/>
        <v>0</v>
      </c>
      <c r="L156" s="26">
        <f t="shared" si="24"/>
        <v>0</v>
      </c>
    </row>
    <row r="157" spans="1:12" ht="12.75">
      <c r="A157" s="3" t="s">
        <v>58</v>
      </c>
      <c r="C157" s="46">
        <f aca="true" t="shared" si="25" ref="C157:G160">G51</f>
        <v>7800.000000000001</v>
      </c>
      <c r="D157" s="17">
        <f t="shared" si="25"/>
        <v>8320</v>
      </c>
      <c r="E157" s="17">
        <f t="shared" si="25"/>
        <v>8840</v>
      </c>
      <c r="F157" s="17">
        <f t="shared" si="25"/>
        <v>9620.000000000002</v>
      </c>
      <c r="G157" s="25">
        <f t="shared" si="25"/>
        <v>10400</v>
      </c>
      <c r="H157" s="69">
        <f t="shared" si="20"/>
        <v>3.9000000000000004</v>
      </c>
      <c r="I157" s="18">
        <f t="shared" si="21"/>
        <v>4.03</v>
      </c>
      <c r="J157" s="18">
        <f t="shared" si="22"/>
        <v>4.16</v>
      </c>
      <c r="K157" s="18">
        <f t="shared" si="23"/>
        <v>4.3225</v>
      </c>
      <c r="L157" s="26">
        <f t="shared" si="24"/>
        <v>4.498</v>
      </c>
    </row>
    <row r="158" spans="1:12" ht="12.75">
      <c r="A158" s="3" t="s">
        <v>59</v>
      </c>
      <c r="C158" s="46">
        <f t="shared" si="25"/>
        <v>1000</v>
      </c>
      <c r="D158" s="17">
        <f t="shared" si="25"/>
        <v>1000</v>
      </c>
      <c r="E158" s="17">
        <f t="shared" si="25"/>
        <v>1000</v>
      </c>
      <c r="F158" s="17">
        <f t="shared" si="25"/>
        <v>1000</v>
      </c>
      <c r="G158" s="25">
        <f t="shared" si="25"/>
        <v>1000</v>
      </c>
      <c r="H158" s="69">
        <f t="shared" si="20"/>
        <v>0.5</v>
      </c>
      <c r="I158" s="18">
        <f t="shared" si="21"/>
        <v>0.5</v>
      </c>
      <c r="J158" s="18">
        <f t="shared" si="22"/>
        <v>0.5</v>
      </c>
      <c r="K158" s="18">
        <f t="shared" si="23"/>
        <v>0.5</v>
      </c>
      <c r="L158" s="26">
        <f t="shared" si="24"/>
        <v>0.5</v>
      </c>
    </row>
    <row r="159" spans="1:12" ht="12.75">
      <c r="A159" s="3" t="s">
        <v>60</v>
      </c>
      <c r="C159" s="46">
        <f t="shared" si="25"/>
        <v>6000</v>
      </c>
      <c r="D159" s="17">
        <f t="shared" si="25"/>
        <v>8000</v>
      </c>
      <c r="E159" s="17">
        <f t="shared" si="25"/>
        <v>10000</v>
      </c>
      <c r="F159" s="17">
        <f t="shared" si="25"/>
        <v>12400</v>
      </c>
      <c r="G159" s="25">
        <f t="shared" si="25"/>
        <v>15000</v>
      </c>
      <c r="H159" s="69">
        <f t="shared" si="20"/>
        <v>3</v>
      </c>
      <c r="I159" s="18">
        <f t="shared" si="21"/>
        <v>3.5</v>
      </c>
      <c r="J159" s="18">
        <f t="shared" si="22"/>
        <v>4</v>
      </c>
      <c r="K159" s="18">
        <f t="shared" si="23"/>
        <v>4.55</v>
      </c>
      <c r="L159" s="26">
        <f t="shared" si="24"/>
        <v>5.14</v>
      </c>
    </row>
    <row r="160" spans="1:12" ht="12.75">
      <c r="A160" s="3" t="s">
        <v>26</v>
      </c>
      <c r="C160" s="46">
        <f t="shared" si="25"/>
        <v>1600</v>
      </c>
      <c r="D160" s="17">
        <f t="shared" si="25"/>
        <v>1600</v>
      </c>
      <c r="E160" s="17">
        <f t="shared" si="25"/>
        <v>2400</v>
      </c>
      <c r="F160" s="17">
        <f t="shared" si="25"/>
        <v>4000</v>
      </c>
      <c r="G160" s="25">
        <f t="shared" si="25"/>
        <v>6400</v>
      </c>
      <c r="H160" s="69">
        <f t="shared" si="20"/>
        <v>0.8</v>
      </c>
      <c r="I160" s="18">
        <f t="shared" si="21"/>
        <v>0.8</v>
      </c>
      <c r="J160" s="18">
        <f t="shared" si="22"/>
        <v>0.9333333333333333</v>
      </c>
      <c r="K160" s="18">
        <f t="shared" si="23"/>
        <v>1.2</v>
      </c>
      <c r="L160" s="26">
        <f t="shared" si="24"/>
        <v>1.6</v>
      </c>
    </row>
    <row r="161" spans="1:12" ht="12.75">
      <c r="A161" s="19" t="s">
        <v>61</v>
      </c>
      <c r="B161" s="20"/>
      <c r="C161" s="68"/>
      <c r="D161" s="13"/>
      <c r="E161" s="13"/>
      <c r="F161" s="13"/>
      <c r="G161" s="94"/>
      <c r="H161" s="77">
        <f t="shared" si="20"/>
        <v>0</v>
      </c>
      <c r="I161" s="14">
        <f t="shared" si="21"/>
        <v>0</v>
      </c>
      <c r="J161" s="14">
        <f t="shared" si="22"/>
        <v>0</v>
      </c>
      <c r="K161" s="14">
        <f t="shared" si="23"/>
        <v>0</v>
      </c>
      <c r="L161" s="66">
        <f t="shared" si="24"/>
        <v>0</v>
      </c>
    </row>
    <row r="162" spans="1:12" ht="12.75">
      <c r="A162" t="s">
        <v>103</v>
      </c>
      <c r="C162" s="46">
        <f>SUM(C152:C161)</f>
        <v>77200</v>
      </c>
      <c r="D162" s="17">
        <f>SUM(D152:D161)</f>
        <v>62920</v>
      </c>
      <c r="E162" s="17">
        <f>SUM(E152:E161)</f>
        <v>56540</v>
      </c>
      <c r="F162" s="17">
        <f>SUM(F152:F161)</f>
        <v>52920</v>
      </c>
      <c r="G162" s="25">
        <f>SUM(G152:G161)</f>
        <v>51600</v>
      </c>
      <c r="H162" s="69"/>
      <c r="I162" s="18"/>
      <c r="J162" s="18"/>
      <c r="K162" s="18"/>
      <c r="L162" s="26"/>
    </row>
    <row r="163" spans="1:12" ht="12.75">
      <c r="A163" s="58" t="s">
        <v>104</v>
      </c>
      <c r="B163" s="58"/>
      <c r="C163" s="68">
        <f>B163+C162</f>
        <v>77200</v>
      </c>
      <c r="D163" s="13">
        <f>C163+D162</f>
        <v>140120</v>
      </c>
      <c r="E163" s="13">
        <f>D163+E162</f>
        <v>196660</v>
      </c>
      <c r="F163" s="13">
        <f>E163+F162</f>
        <v>249580</v>
      </c>
      <c r="G163" s="94">
        <f>F163+G162</f>
        <v>301180</v>
      </c>
      <c r="H163" s="77"/>
      <c r="I163" s="14"/>
      <c r="J163" s="14"/>
      <c r="K163" s="14"/>
      <c r="L163" s="66"/>
    </row>
    <row r="164" spans="1:12" ht="12.75">
      <c r="A164" s="3" t="s">
        <v>80</v>
      </c>
      <c r="C164" s="46"/>
      <c r="D164" s="17"/>
      <c r="E164" s="17"/>
      <c r="F164" s="17"/>
      <c r="G164" s="25"/>
      <c r="H164" s="35"/>
      <c r="I164" s="20"/>
      <c r="J164" s="20"/>
      <c r="K164" s="20"/>
      <c r="L164" s="44"/>
    </row>
    <row r="165" spans="1:12" ht="13.5" thickBot="1">
      <c r="A165" s="91" t="s">
        <v>67</v>
      </c>
      <c r="B165" s="71"/>
      <c r="C165" s="72">
        <f>G57</f>
        <v>0</v>
      </c>
      <c r="D165" s="15">
        <f>H57</f>
        <v>0</v>
      </c>
      <c r="E165" s="15">
        <f>I57</f>
        <v>5000.000000000005</v>
      </c>
      <c r="F165" s="15">
        <f>J57</f>
        <v>5000.000000000005</v>
      </c>
      <c r="G165" s="95">
        <f>K57</f>
        <v>5000.000000000005</v>
      </c>
      <c r="H165" s="78">
        <f>C165/($F$26*H150)</f>
        <v>0</v>
      </c>
      <c r="I165" s="16">
        <f>D165/($F$26*I150)</f>
        <v>0</v>
      </c>
      <c r="J165" s="16">
        <f>E165/($F$26*J150)</f>
        <v>0.833333333333334</v>
      </c>
      <c r="K165" s="16">
        <f>F165/($F$26*K150)</f>
        <v>0.6250000000000006</v>
      </c>
      <c r="L165" s="73">
        <f>G165/($F$26*L150)</f>
        <v>0.5000000000000004</v>
      </c>
    </row>
    <row r="166" spans="1:12" ht="13.5" thickTop="1">
      <c r="A166" t="s">
        <v>107</v>
      </c>
      <c r="C166" s="46">
        <f>C163+C165</f>
        <v>77200</v>
      </c>
      <c r="D166" s="17">
        <f>D163+D165</f>
        <v>140120</v>
      </c>
      <c r="E166" s="17">
        <f>E163+E165</f>
        <v>201660</v>
      </c>
      <c r="F166" s="17">
        <f>F163+F165</f>
        <v>254580</v>
      </c>
      <c r="G166" s="25">
        <f>G163+G165</f>
        <v>306180</v>
      </c>
      <c r="H166" s="35"/>
      <c r="I166" s="20"/>
      <c r="J166" s="20"/>
      <c r="K166" s="20"/>
      <c r="L166" s="44"/>
    </row>
    <row r="167" spans="1:12" ht="12.75">
      <c r="A167" t="s">
        <v>105</v>
      </c>
      <c r="C167" s="69">
        <f>C166/($F$26*C150)</f>
        <v>38.6</v>
      </c>
      <c r="D167" s="18">
        <f>D166/($F$26*D150)</f>
        <v>35.03</v>
      </c>
      <c r="E167" s="18">
        <f>E166/($F$26*E150)</f>
        <v>33.61</v>
      </c>
      <c r="F167" s="18">
        <f>F166/($F$26*F150)</f>
        <v>31.8225</v>
      </c>
      <c r="G167" s="26">
        <f>G166/($F$26*G150)</f>
        <v>30.618</v>
      </c>
      <c r="H167" s="69">
        <f>SUM(H152:H165)</f>
        <v>38.599999999999994</v>
      </c>
      <c r="I167" s="18">
        <f>SUM(I152:I165)</f>
        <v>35.03</v>
      </c>
      <c r="J167" s="18">
        <f>SUM(J152:J165)</f>
        <v>33.61000000000001</v>
      </c>
      <c r="K167" s="18">
        <f>SUM(K152:K165)</f>
        <v>31.822500000000005</v>
      </c>
      <c r="L167" s="26">
        <f>SUM(L152:L165)</f>
        <v>30.618000000000006</v>
      </c>
    </row>
    <row r="168" spans="1:12" ht="13.5" thickBot="1">
      <c r="A168" s="24" t="s">
        <v>91</v>
      </c>
      <c r="B168" s="18"/>
      <c r="C168" s="83">
        <v>1</v>
      </c>
      <c r="D168" s="65">
        <v>2</v>
      </c>
      <c r="E168" s="65">
        <v>3</v>
      </c>
      <c r="F168" s="65">
        <v>4</v>
      </c>
      <c r="G168" s="65">
        <v>5</v>
      </c>
      <c r="H168" s="116">
        <v>1</v>
      </c>
      <c r="I168" s="99">
        <v>2</v>
      </c>
      <c r="J168" s="99">
        <v>3</v>
      </c>
      <c r="K168" s="99">
        <v>4</v>
      </c>
      <c r="L168" s="100">
        <v>5</v>
      </c>
    </row>
    <row r="169" spans="1:8" ht="13.5" thickBot="1">
      <c r="A169" s="62" t="s">
        <v>141</v>
      </c>
      <c r="B169" s="50"/>
      <c r="C169" s="50"/>
      <c r="D169" s="50"/>
      <c r="E169" s="50"/>
      <c r="F169" s="50"/>
      <c r="G169" s="50"/>
      <c r="H169" s="51"/>
    </row>
    <row r="170" spans="1:8" ht="12.75">
      <c r="A170" s="35"/>
      <c r="B170" s="20"/>
      <c r="D170" s="143" t="s">
        <v>19</v>
      </c>
      <c r="E170" s="144"/>
      <c r="F170" s="144"/>
      <c r="G170" s="144"/>
      <c r="H170" s="145"/>
    </row>
    <row r="171" spans="2:8" ht="12.75">
      <c r="B171" s="48"/>
      <c r="D171" s="83">
        <v>0</v>
      </c>
      <c r="E171" s="65">
        <v>1</v>
      </c>
      <c r="F171" s="65">
        <v>2</v>
      </c>
      <c r="G171" s="65">
        <v>3</v>
      </c>
      <c r="H171" s="84">
        <v>4</v>
      </c>
    </row>
    <row r="172" spans="1:8" ht="15.75">
      <c r="A172" s="24" t="s">
        <v>129</v>
      </c>
      <c r="B172" s="20"/>
      <c r="D172" s="146" t="s">
        <v>45</v>
      </c>
      <c r="E172" s="147"/>
      <c r="F172" s="147"/>
      <c r="G172" s="147"/>
      <c r="H172" s="148"/>
    </row>
    <row r="173" spans="1:8" ht="12.75">
      <c r="A173" s="24" t="s">
        <v>7</v>
      </c>
      <c r="B173" s="20"/>
      <c r="D173" s="46">
        <f>$F$17</f>
        <v>100000</v>
      </c>
      <c r="E173" s="17"/>
      <c r="F173" s="17"/>
      <c r="G173" s="17"/>
      <c r="H173" s="25"/>
    </row>
    <row r="174" spans="1:8" ht="12.75">
      <c r="A174" s="24" t="s">
        <v>47</v>
      </c>
      <c r="B174" s="20"/>
      <c r="D174" s="46">
        <f>G$47</f>
        <v>6000</v>
      </c>
      <c r="E174" s="17">
        <f>H$47</f>
        <v>4200</v>
      </c>
      <c r="F174" s="17">
        <f>I$47</f>
        <v>3000</v>
      </c>
      <c r="G174" s="17">
        <f>J$47</f>
        <v>2100</v>
      </c>
      <c r="H174" s="25"/>
    </row>
    <row r="175" spans="1:8" ht="12.75">
      <c r="A175" s="24" t="s">
        <v>48</v>
      </c>
      <c r="B175" s="20"/>
      <c r="D175" s="46">
        <f>G$50</f>
        <v>7800.000000000001</v>
      </c>
      <c r="E175" s="17">
        <f>H$50</f>
        <v>7800.000000000001</v>
      </c>
      <c r="F175" s="17">
        <f>I$50</f>
        <v>7800.000000000001</v>
      </c>
      <c r="G175" s="17">
        <f>J$50</f>
        <v>7800.000000000001</v>
      </c>
      <c r="H175" s="25"/>
    </row>
    <row r="176" spans="1:8" ht="12.75">
      <c r="A176" s="24" t="s">
        <v>108</v>
      </c>
      <c r="B176" s="20"/>
      <c r="D176" s="46"/>
      <c r="E176" s="17">
        <f>G$49</f>
        <v>-10500</v>
      </c>
      <c r="F176" s="17">
        <f>H$49</f>
        <v>-7000</v>
      </c>
      <c r="G176" s="17">
        <f>I$49</f>
        <v>-5250</v>
      </c>
      <c r="H176" s="25">
        <f>J$49</f>
        <v>-3500</v>
      </c>
    </row>
    <row r="177" spans="1:9" ht="12.75">
      <c r="A177" s="24" t="s">
        <v>66</v>
      </c>
      <c r="B177" s="17"/>
      <c r="D177" s="46"/>
      <c r="E177" s="17"/>
      <c r="F177" s="17"/>
      <c r="G177" s="17"/>
      <c r="H177" s="25">
        <f>-J$43</f>
        <v>-25000</v>
      </c>
      <c r="I177" s="24"/>
    </row>
    <row r="178" spans="1:8" ht="12.75">
      <c r="A178" s="24" t="s">
        <v>67</v>
      </c>
      <c r="B178" s="20"/>
      <c r="D178" s="68"/>
      <c r="E178" s="13"/>
      <c r="F178" s="13"/>
      <c r="G178" s="13"/>
      <c r="H178" s="94">
        <f>K$57</f>
        <v>5000.000000000005</v>
      </c>
    </row>
    <row r="179" spans="1:8" ht="15.75">
      <c r="A179" s="24" t="s">
        <v>139</v>
      </c>
      <c r="B179" s="17"/>
      <c r="D179" s="46">
        <f>SUM(D173:D178)</f>
        <v>113800</v>
      </c>
      <c r="E179" s="17">
        <f>SUM(E173:E178)</f>
        <v>1500</v>
      </c>
      <c r="F179" s="17">
        <f>SUM(F173:F178)</f>
        <v>3800</v>
      </c>
      <c r="G179" s="17">
        <f>SUM(G173:G178)</f>
        <v>4650</v>
      </c>
      <c r="H179" s="25">
        <f>SUM(H173:H178)</f>
        <v>-23499.999999999996</v>
      </c>
    </row>
    <row r="180" spans="1:8" ht="15.75">
      <c r="A180" s="60" t="s">
        <v>151</v>
      </c>
      <c r="B180" s="58"/>
      <c r="C180" s="58"/>
      <c r="D180" s="68">
        <f>D179*F$58</f>
        <v>113800</v>
      </c>
      <c r="E180" s="13">
        <f>E179*G$58</f>
        <v>1250</v>
      </c>
      <c r="F180" s="13">
        <f>F179*H$58</f>
        <v>2638.8888888888887</v>
      </c>
      <c r="G180" s="13">
        <f>G179*I$58</f>
        <v>2690.972222222222</v>
      </c>
      <c r="H180" s="94">
        <f>H179*J$58</f>
        <v>-11332.947530864196</v>
      </c>
    </row>
    <row r="181" spans="1:8" ht="15.75">
      <c r="A181" s="24" t="s">
        <v>131</v>
      </c>
      <c r="B181" s="17"/>
      <c r="D181" s="35"/>
      <c r="E181" s="113"/>
      <c r="F181" s="17"/>
      <c r="G181" s="17"/>
      <c r="H181" s="25"/>
    </row>
    <row r="182" spans="1:8" ht="12.75">
      <c r="A182" s="24" t="s">
        <v>58</v>
      </c>
      <c r="B182" s="17"/>
      <c r="D182" s="35"/>
      <c r="E182" s="17">
        <f>G$51</f>
        <v>7800.000000000001</v>
      </c>
      <c r="F182" s="17">
        <f>H$51</f>
        <v>8320</v>
      </c>
      <c r="G182" s="17">
        <f>I$51</f>
        <v>8840</v>
      </c>
      <c r="H182" s="25">
        <f>J$51</f>
        <v>9620.000000000002</v>
      </c>
    </row>
    <row r="183" spans="1:8" ht="12.75">
      <c r="A183" s="24" t="s">
        <v>59</v>
      </c>
      <c r="B183" s="17"/>
      <c r="D183" s="35"/>
      <c r="E183" s="17">
        <f>G$52</f>
        <v>1000</v>
      </c>
      <c r="F183" s="17">
        <f>H$52</f>
        <v>1000</v>
      </c>
      <c r="G183" s="17">
        <f>I$52</f>
        <v>1000</v>
      </c>
      <c r="H183" s="25">
        <f>J$52</f>
        <v>1000</v>
      </c>
    </row>
    <row r="184" spans="1:8" ht="12.75">
      <c r="A184" s="24" t="s">
        <v>60</v>
      </c>
      <c r="B184" s="17"/>
      <c r="D184" s="35"/>
      <c r="E184" s="17">
        <f>G$53</f>
        <v>6000</v>
      </c>
      <c r="F184" s="17">
        <f>H$53</f>
        <v>8000</v>
      </c>
      <c r="G184" s="17">
        <f>I$53</f>
        <v>10000</v>
      </c>
      <c r="H184" s="25">
        <f>J$53</f>
        <v>12400</v>
      </c>
    </row>
    <row r="185" spans="1:8" ht="12.75">
      <c r="A185" s="24" t="s">
        <v>26</v>
      </c>
      <c r="B185" s="20"/>
      <c r="D185" s="35"/>
      <c r="E185" s="17">
        <f>G$54</f>
        <v>1600</v>
      </c>
      <c r="F185" s="17">
        <f>H$54</f>
        <v>1600</v>
      </c>
      <c r="G185" s="17">
        <f>I$54</f>
        <v>2400</v>
      </c>
      <c r="H185" s="25">
        <f>J$54</f>
        <v>4000</v>
      </c>
    </row>
    <row r="186" spans="1:8" ht="12.75">
      <c r="A186" s="24" t="s">
        <v>61</v>
      </c>
      <c r="B186" s="20"/>
      <c r="D186" s="68"/>
      <c r="E186" s="13">
        <f>G$56</f>
        <v>0</v>
      </c>
      <c r="F186" s="13">
        <f>H$56</f>
        <v>2067.2000000000016</v>
      </c>
      <c r="G186" s="13">
        <f>I$56</f>
        <v>23608.49600000001</v>
      </c>
      <c r="H186" s="94">
        <f>J$56</f>
        <v>31105.93600000001</v>
      </c>
    </row>
    <row r="187" spans="1:8" ht="15.75">
      <c r="A187" s="24" t="s">
        <v>132</v>
      </c>
      <c r="B187" s="17"/>
      <c r="D187" s="46">
        <f>SUM(D182:D186)</f>
        <v>0</v>
      </c>
      <c r="E187" s="17">
        <f>SUM(E182:E186)</f>
        <v>16400</v>
      </c>
      <c r="F187" s="17">
        <f>SUM(F182:F186)</f>
        <v>20987.2</v>
      </c>
      <c r="G187" s="17">
        <f>SUM(G182:G186)</f>
        <v>45848.496000000014</v>
      </c>
      <c r="H187" s="25">
        <f>SUM(H182:H186)</f>
        <v>58125.93600000001</v>
      </c>
    </row>
    <row r="188" spans="1:8" ht="16.5" thickBot="1">
      <c r="A188" s="60" t="s">
        <v>151</v>
      </c>
      <c r="B188" s="15"/>
      <c r="C188" s="15"/>
      <c r="D188" s="72">
        <f>F$59*D187</f>
        <v>0</v>
      </c>
      <c r="E188" s="15">
        <f>G$59*E187</f>
        <v>14991.827523842016</v>
      </c>
      <c r="F188" s="15">
        <f>H$59*F187</f>
        <v>15987.62614879965</v>
      </c>
      <c r="G188" s="15">
        <f>I$59*G187</f>
        <v>29105.38381857896</v>
      </c>
      <c r="H188" s="95">
        <f>J$59*H187</f>
        <v>30749.42154943963</v>
      </c>
    </row>
    <row r="189" spans="1:8" ht="13.5" thickTop="1">
      <c r="A189" s="114" t="s">
        <v>140</v>
      </c>
      <c r="B189" s="115"/>
      <c r="C189" s="115"/>
      <c r="D189" s="46">
        <f>D180+D188</f>
        <v>113800</v>
      </c>
      <c r="E189" s="17">
        <f>E180+E188</f>
        <v>16241.827523842016</v>
      </c>
      <c r="F189" s="17">
        <f>F180+F188</f>
        <v>18626.51503768854</v>
      </c>
      <c r="G189" s="17">
        <f>G180+G188</f>
        <v>31796.356040801184</v>
      </c>
      <c r="H189" s="25">
        <f>H180+H188</f>
        <v>19416.474018575434</v>
      </c>
    </row>
    <row r="190" spans="1:8" ht="15">
      <c r="A190" s="24" t="s">
        <v>143</v>
      </c>
      <c r="B190" s="20"/>
      <c r="D190" s="135">
        <f>SUM(D189:H189)</f>
        <v>199881.1726209072</v>
      </c>
      <c r="E190" s="136"/>
      <c r="F190" s="136"/>
      <c r="G190" s="136"/>
      <c r="H190" s="137"/>
    </row>
    <row r="191" spans="1:8" ht="15" thickBot="1">
      <c r="A191" s="27" t="s">
        <v>144</v>
      </c>
      <c r="B191" s="28"/>
      <c r="C191" s="45"/>
      <c r="D191" s="138">
        <f>D190*$J$60/$F$26</f>
        <v>35.19349474634448</v>
      </c>
      <c r="E191" s="139"/>
      <c r="F191" s="139"/>
      <c r="G191" s="139"/>
      <c r="H191" s="140"/>
    </row>
    <row r="192" spans="1:8" ht="12.75">
      <c r="A192" s="52"/>
      <c r="B192" s="30"/>
      <c r="C192" s="30"/>
      <c r="D192" s="30"/>
      <c r="E192" s="30"/>
      <c r="F192" s="30"/>
      <c r="G192" s="30"/>
      <c r="H192" s="37"/>
    </row>
    <row r="193" spans="1:8" ht="13.5" thickBot="1">
      <c r="A193" s="36"/>
      <c r="B193" s="28"/>
      <c r="C193" s="28"/>
      <c r="D193" s="28"/>
      <c r="E193" s="28"/>
      <c r="F193" s="28"/>
      <c r="G193" s="28"/>
      <c r="H193" s="45"/>
    </row>
    <row r="194" spans="1:8" ht="13.5" thickBot="1">
      <c r="A194" s="62" t="s">
        <v>145</v>
      </c>
      <c r="B194" s="50"/>
      <c r="C194" s="50"/>
      <c r="D194" s="50"/>
      <c r="E194" s="50"/>
      <c r="F194" s="50"/>
      <c r="G194" s="50"/>
      <c r="H194" s="51"/>
    </row>
    <row r="195" spans="1:8" ht="12.75">
      <c r="A195" s="35"/>
      <c r="B195" s="20"/>
      <c r="D195" s="143" t="s">
        <v>19</v>
      </c>
      <c r="E195" s="144"/>
      <c r="F195" s="144"/>
      <c r="G195" s="144"/>
      <c r="H195" s="145"/>
    </row>
    <row r="196" spans="2:8" ht="12.75">
      <c r="B196" s="48"/>
      <c r="D196" s="83">
        <v>0</v>
      </c>
      <c r="E196" s="65">
        <v>1</v>
      </c>
      <c r="F196" s="65">
        <v>2</v>
      </c>
      <c r="G196" s="65">
        <v>3</v>
      </c>
      <c r="H196" s="84">
        <v>4</v>
      </c>
    </row>
    <row r="197" spans="1:8" ht="15.75">
      <c r="A197" s="24" t="s">
        <v>129</v>
      </c>
      <c r="B197" s="20"/>
      <c r="D197" s="146" t="s">
        <v>45</v>
      </c>
      <c r="E197" s="147"/>
      <c r="F197" s="147"/>
      <c r="G197" s="147"/>
      <c r="H197" s="148"/>
    </row>
    <row r="198" spans="1:8" ht="12.75">
      <c r="A198" s="24" t="s">
        <v>7</v>
      </c>
      <c r="B198" s="20"/>
      <c r="D198" s="46">
        <f>$F$17</f>
        <v>100000</v>
      </c>
      <c r="E198" s="17"/>
      <c r="F198" s="17"/>
      <c r="G198" s="17"/>
      <c r="H198" s="25"/>
    </row>
    <row r="199" spans="1:8" ht="12.75">
      <c r="A199" s="24" t="s">
        <v>47</v>
      </c>
      <c r="B199" s="20"/>
      <c r="D199" s="46">
        <f>G$47</f>
        <v>6000</v>
      </c>
      <c r="E199" s="17">
        <f>H$47</f>
        <v>4200</v>
      </c>
      <c r="F199" s="17">
        <f>I$47</f>
        <v>3000</v>
      </c>
      <c r="G199" s="17">
        <f>J$47</f>
        <v>2100</v>
      </c>
      <c r="H199" s="25"/>
    </row>
    <row r="200" spans="1:8" ht="12.75">
      <c r="A200" s="24" t="s">
        <v>48</v>
      </c>
      <c r="B200" s="20"/>
      <c r="D200" s="46">
        <f>G$50</f>
        <v>7800.000000000001</v>
      </c>
      <c r="E200" s="17">
        <f>H$50</f>
        <v>7800.000000000001</v>
      </c>
      <c r="F200" s="17">
        <f>I$50</f>
        <v>7800.000000000001</v>
      </c>
      <c r="G200" s="17">
        <f>J$50</f>
        <v>7800.000000000001</v>
      </c>
      <c r="H200" s="25"/>
    </row>
    <row r="201" spans="1:8" ht="12.75">
      <c r="A201" s="24" t="s">
        <v>108</v>
      </c>
      <c r="B201" s="20"/>
      <c r="D201" s="46"/>
      <c r="E201" s="17"/>
      <c r="F201" s="17"/>
      <c r="G201" s="17"/>
      <c r="H201" s="25"/>
    </row>
    <row r="202" spans="1:8" ht="12.75">
      <c r="A202" s="24" t="s">
        <v>66</v>
      </c>
      <c r="B202" s="17"/>
      <c r="D202" s="46"/>
      <c r="E202" s="17"/>
      <c r="F202" s="17"/>
      <c r="G202" s="17"/>
      <c r="H202" s="25">
        <f>-J$43</f>
        <v>-25000</v>
      </c>
    </row>
    <row r="203" spans="1:8" ht="12.75">
      <c r="A203" s="24" t="s">
        <v>67</v>
      </c>
      <c r="B203" s="20"/>
      <c r="D203" s="68"/>
      <c r="E203" s="13"/>
      <c r="F203" s="13"/>
      <c r="G203" s="13"/>
      <c r="H203" s="94">
        <f>K$57</f>
        <v>5000.000000000005</v>
      </c>
    </row>
    <row r="204" spans="1:8" ht="15.75">
      <c r="A204" s="24" t="s">
        <v>139</v>
      </c>
      <c r="B204" s="17"/>
      <c r="D204" s="46">
        <f>SUM(D198:D203)</f>
        <v>113800</v>
      </c>
      <c r="E204" s="17">
        <f>SUM(E198:E203)</f>
        <v>12000</v>
      </c>
      <c r="F204" s="17">
        <f>SUM(F198:F203)</f>
        <v>10800</v>
      </c>
      <c r="G204" s="17">
        <f>SUM(G198:G203)</f>
        <v>9900</v>
      </c>
      <c r="H204" s="25">
        <f>SUM(H198:H203)</f>
        <v>-19999.999999999996</v>
      </c>
    </row>
    <row r="205" spans="1:8" ht="15.75">
      <c r="A205" s="60" t="s">
        <v>151</v>
      </c>
      <c r="B205" s="58"/>
      <c r="C205" s="58"/>
      <c r="D205" s="68">
        <f>D204*F$58</f>
        <v>113800</v>
      </c>
      <c r="E205" s="13">
        <f>E204*G$58</f>
        <v>10000</v>
      </c>
      <c r="F205" s="13">
        <f>F204*H$58</f>
        <v>7500</v>
      </c>
      <c r="G205" s="13">
        <f>G204*I$58</f>
        <v>5729.166666666667</v>
      </c>
      <c r="H205" s="94">
        <f>H204*J$58</f>
        <v>-9645.061728395061</v>
      </c>
    </row>
    <row r="206" spans="1:8" ht="15.75">
      <c r="A206" s="24" t="s">
        <v>131</v>
      </c>
      <c r="B206" s="17"/>
      <c r="D206" s="35"/>
      <c r="E206" s="113"/>
      <c r="F206" s="17"/>
      <c r="G206" s="17"/>
      <c r="H206" s="25"/>
    </row>
    <row r="207" spans="1:8" ht="12.75">
      <c r="A207" s="24" t="s">
        <v>58</v>
      </c>
      <c r="B207" s="17"/>
      <c r="D207" s="35"/>
      <c r="E207" s="17">
        <f>G$51</f>
        <v>7800.000000000001</v>
      </c>
      <c r="F207" s="17">
        <f>H$51</f>
        <v>8320</v>
      </c>
      <c r="G207" s="17">
        <f>I$51</f>
        <v>8840</v>
      </c>
      <c r="H207" s="25">
        <f>J$51</f>
        <v>9620.000000000002</v>
      </c>
    </row>
    <row r="208" spans="1:8" ht="12.75">
      <c r="A208" s="24" t="s">
        <v>59</v>
      </c>
      <c r="B208" s="17"/>
      <c r="D208" s="35"/>
      <c r="E208" s="17">
        <f>G$52</f>
        <v>1000</v>
      </c>
      <c r="F208" s="17">
        <f>H$52</f>
        <v>1000</v>
      </c>
      <c r="G208" s="17">
        <f>I$52</f>
        <v>1000</v>
      </c>
      <c r="H208" s="25">
        <f>J$52</f>
        <v>1000</v>
      </c>
    </row>
    <row r="209" spans="1:8" ht="12.75">
      <c r="A209" s="24" t="s">
        <v>60</v>
      </c>
      <c r="B209" s="17"/>
      <c r="D209" s="35"/>
      <c r="E209" s="17">
        <f>G$53</f>
        <v>6000</v>
      </c>
      <c r="F209" s="17">
        <f>H$53</f>
        <v>8000</v>
      </c>
      <c r="G209" s="17">
        <f>I$53</f>
        <v>10000</v>
      </c>
      <c r="H209" s="25">
        <f>J$53</f>
        <v>12400</v>
      </c>
    </row>
    <row r="210" spans="1:8" ht="12.75">
      <c r="A210" s="24" t="s">
        <v>26</v>
      </c>
      <c r="B210" s="20"/>
      <c r="D210" s="35"/>
      <c r="E210" s="17">
        <f>G$54</f>
        <v>1600</v>
      </c>
      <c r="F210" s="17">
        <f>H$54</f>
        <v>1600</v>
      </c>
      <c r="G210" s="17">
        <f>I$54</f>
        <v>2400</v>
      </c>
      <c r="H210" s="25">
        <f>J$54</f>
        <v>4000</v>
      </c>
    </row>
    <row r="211" spans="1:8" ht="12.75">
      <c r="A211" s="24" t="s">
        <v>61</v>
      </c>
      <c r="B211" s="20"/>
      <c r="D211" s="68"/>
      <c r="E211" s="13"/>
      <c r="F211" s="13"/>
      <c r="G211" s="13"/>
      <c r="H211" s="94"/>
    </row>
    <row r="212" spans="1:8" ht="15.75">
      <c r="A212" s="24" t="s">
        <v>132</v>
      </c>
      <c r="B212" s="17"/>
      <c r="D212" s="46">
        <f>SUM(D207:D211)</f>
        <v>0</v>
      </c>
      <c r="E212" s="17">
        <f>SUM(E207:E211)</f>
        <v>16400</v>
      </c>
      <c r="F212" s="17">
        <f>SUM(F207:F211)</f>
        <v>18920</v>
      </c>
      <c r="G212" s="17">
        <f>SUM(G207:G211)</f>
        <v>22240</v>
      </c>
      <c r="H212" s="25">
        <f>SUM(H207:H211)</f>
        <v>27020</v>
      </c>
    </row>
    <row r="213" spans="1:8" ht="16.5" thickBot="1">
      <c r="A213" s="60" t="s">
        <v>151</v>
      </c>
      <c r="B213" s="15"/>
      <c r="C213" s="15"/>
      <c r="D213" s="72">
        <f>F$59*D212</f>
        <v>0</v>
      </c>
      <c r="E213" s="15">
        <f>G$59*E212</f>
        <v>14991.827523842016</v>
      </c>
      <c r="F213" s="15">
        <f>H$59*F212</f>
        <v>14412.874834913157</v>
      </c>
      <c r="G213" s="15">
        <f>I$59*G212</f>
        <v>14118.319958089702</v>
      </c>
      <c r="H213" s="95">
        <f>J$59*H212</f>
        <v>14293.952535505985</v>
      </c>
    </row>
    <row r="214" spans="1:8" ht="13.5" thickTop="1">
      <c r="A214" s="114" t="s">
        <v>140</v>
      </c>
      <c r="B214" s="115"/>
      <c r="C214" s="115"/>
      <c r="D214" s="46">
        <f>D205+D213</f>
        <v>113800</v>
      </c>
      <c r="E214" s="17">
        <f>E205+E213</f>
        <v>24991.827523842017</v>
      </c>
      <c r="F214" s="17">
        <f>F205+F213</f>
        <v>21912.874834913157</v>
      </c>
      <c r="G214" s="17">
        <f>G205+G213</f>
        <v>19847.48662475637</v>
      </c>
      <c r="H214" s="25">
        <f>H205+H213</f>
        <v>4648.890807110924</v>
      </c>
    </row>
    <row r="215" spans="1:8" ht="15">
      <c r="A215" s="24" t="s">
        <v>143</v>
      </c>
      <c r="B215" s="20"/>
      <c r="D215" s="135">
        <f>SUM(D214:H214)</f>
        <v>185201.07979062246</v>
      </c>
      <c r="E215" s="136"/>
      <c r="F215" s="136"/>
      <c r="G215" s="136"/>
      <c r="H215" s="137"/>
    </row>
    <row r="216" spans="1:8" ht="15" thickBot="1">
      <c r="A216" s="24" t="s">
        <v>144</v>
      </c>
      <c r="B216" s="20"/>
      <c r="C216" s="44"/>
      <c r="D216" s="138">
        <f>D215*$J$60/$F$26</f>
        <v>32.60874019880969</v>
      </c>
      <c r="E216" s="139"/>
      <c r="F216" s="139"/>
      <c r="G216" s="139"/>
      <c r="H216" s="140"/>
    </row>
    <row r="217" spans="1:7" ht="13.5" thickBot="1">
      <c r="A217" s="63" t="s">
        <v>155</v>
      </c>
      <c r="B217" s="30"/>
      <c r="C217" s="37"/>
      <c r="D217" s="133" t="s">
        <v>146</v>
      </c>
      <c r="E217" s="134"/>
      <c r="F217" s="133" t="s">
        <v>147</v>
      </c>
      <c r="G217" s="134"/>
    </row>
    <row r="218" spans="1:7" ht="13.5" thickBot="1">
      <c r="A218" s="121"/>
      <c r="B218" s="28"/>
      <c r="C218" s="45"/>
      <c r="D218" s="122" t="s">
        <v>19</v>
      </c>
      <c r="E218" s="117" t="s">
        <v>148</v>
      </c>
      <c r="F218" s="122" t="s">
        <v>19</v>
      </c>
      <c r="G218" s="117" t="s">
        <v>148</v>
      </c>
    </row>
    <row r="219" spans="1:11" ht="12.75">
      <c r="A219" s="35" t="s">
        <v>78</v>
      </c>
      <c r="B219" s="20"/>
      <c r="C219" s="20"/>
      <c r="D219" s="123">
        <v>1</v>
      </c>
      <c r="E219" s="119">
        <f>$G$45</f>
        <v>30000</v>
      </c>
      <c r="F219" s="123">
        <v>1</v>
      </c>
      <c r="G219" s="119">
        <f>$G$45</f>
        <v>30000</v>
      </c>
      <c r="H219" s="17"/>
      <c r="I219" s="17"/>
      <c r="K219" s="17"/>
    </row>
    <row r="220" spans="1:11" ht="12.75">
      <c r="A220" s="35"/>
      <c r="B220" s="20"/>
      <c r="C220" s="20"/>
      <c r="D220" s="124">
        <v>2</v>
      </c>
      <c r="E220" s="25">
        <f>$H$45</f>
        <v>20000</v>
      </c>
      <c r="F220" s="124">
        <v>2</v>
      </c>
      <c r="G220" s="25">
        <f>$H$45</f>
        <v>20000</v>
      </c>
      <c r="K220" s="17"/>
    </row>
    <row r="221" spans="1:11" ht="12.75">
      <c r="A221" s="35"/>
      <c r="B221" s="20"/>
      <c r="C221" s="20"/>
      <c r="D221" s="124">
        <v>3</v>
      </c>
      <c r="E221" s="25">
        <f>$I$45</f>
        <v>15000</v>
      </c>
      <c r="F221" s="124">
        <v>3</v>
      </c>
      <c r="G221" s="25">
        <f>$I$45</f>
        <v>15000</v>
      </c>
      <c r="K221" s="17"/>
    </row>
    <row r="222" spans="1:11" ht="12.75">
      <c r="A222" s="57"/>
      <c r="B222" s="58"/>
      <c r="C222" s="58"/>
      <c r="D222" s="125">
        <v>4</v>
      </c>
      <c r="E222" s="94">
        <f>$J$45</f>
        <v>10000</v>
      </c>
      <c r="F222" s="125">
        <v>4</v>
      </c>
      <c r="G222" s="94">
        <f>$J$45</f>
        <v>10000</v>
      </c>
      <c r="H222" s="17"/>
      <c r="K222" s="17"/>
    </row>
    <row r="223" spans="1:8" ht="12.75">
      <c r="A223" s="24" t="s">
        <v>121</v>
      </c>
      <c r="B223" s="20"/>
      <c r="C223" s="20"/>
      <c r="D223" s="124">
        <v>1</v>
      </c>
      <c r="E223" s="25">
        <f>$G$48</f>
        <v>17000</v>
      </c>
      <c r="F223" s="124">
        <v>1</v>
      </c>
      <c r="G223" s="25">
        <f>$G$48</f>
        <v>17000</v>
      </c>
      <c r="H223" s="17"/>
    </row>
    <row r="224" spans="1:8" ht="12.75">
      <c r="A224" s="35"/>
      <c r="B224" s="20"/>
      <c r="C224" s="20"/>
      <c r="D224" s="124">
        <v>2</v>
      </c>
      <c r="E224" s="25">
        <f>$H$48</f>
        <v>12000</v>
      </c>
      <c r="F224" s="124">
        <v>2</v>
      </c>
      <c r="G224" s="25">
        <f>$H$48</f>
        <v>12000</v>
      </c>
      <c r="H224" s="17"/>
    </row>
    <row r="225" spans="1:8" ht="12.75">
      <c r="A225" s="35"/>
      <c r="B225" s="20"/>
      <c r="C225" s="20"/>
      <c r="D225" s="124">
        <v>3</v>
      </c>
      <c r="E225" s="25">
        <f>$I$48</f>
        <v>8500</v>
      </c>
      <c r="F225" s="124">
        <v>3</v>
      </c>
      <c r="G225" s="25">
        <f>$I$48</f>
        <v>8500</v>
      </c>
      <c r="H225" s="17"/>
    </row>
    <row r="226" spans="1:7" ht="12.75">
      <c r="A226" s="35"/>
      <c r="B226" s="20"/>
      <c r="C226" s="20"/>
      <c r="D226" s="124">
        <v>4</v>
      </c>
      <c r="E226" s="25">
        <f>$J$48</f>
        <v>6000</v>
      </c>
      <c r="F226" s="124">
        <v>4</v>
      </c>
      <c r="G226" s="25">
        <f>$J$48</f>
        <v>6000</v>
      </c>
    </row>
    <row r="227" spans="1:7" ht="12.75">
      <c r="A227" s="120" t="s">
        <v>47</v>
      </c>
      <c r="B227" s="118"/>
      <c r="C227" s="118"/>
      <c r="D227" s="123">
        <v>1</v>
      </c>
      <c r="E227" s="119">
        <f>$G$47</f>
        <v>6000</v>
      </c>
      <c r="F227" s="123">
        <v>1</v>
      </c>
      <c r="G227" s="119">
        <f>$G$47</f>
        <v>6000</v>
      </c>
    </row>
    <row r="228" spans="1:7" ht="12.75">
      <c r="A228" s="35"/>
      <c r="B228" s="20"/>
      <c r="C228" s="20"/>
      <c r="D228" s="124">
        <v>2</v>
      </c>
      <c r="E228" s="25">
        <f>$H$47</f>
        <v>4200</v>
      </c>
      <c r="F228" s="124">
        <v>2</v>
      </c>
      <c r="G228" s="25">
        <f>$H$47</f>
        <v>4200</v>
      </c>
    </row>
    <row r="229" spans="1:7" ht="12.75">
      <c r="A229" s="35"/>
      <c r="B229" s="20"/>
      <c r="C229" s="20"/>
      <c r="D229" s="124">
        <v>3</v>
      </c>
      <c r="E229" s="25">
        <f>$I$47</f>
        <v>3000</v>
      </c>
      <c r="F229" s="124">
        <v>3</v>
      </c>
      <c r="G229" s="25">
        <f>$I$47</f>
        <v>3000</v>
      </c>
    </row>
    <row r="230" spans="1:7" ht="12.75">
      <c r="A230" s="57"/>
      <c r="B230" s="58"/>
      <c r="C230" s="58"/>
      <c r="D230" s="125">
        <v>4</v>
      </c>
      <c r="E230" s="94">
        <f>$J$47</f>
        <v>2100</v>
      </c>
      <c r="F230" s="125">
        <v>4</v>
      </c>
      <c r="G230" s="94">
        <f>$J$47</f>
        <v>2100</v>
      </c>
    </row>
    <row r="231" spans="1:7" ht="12.75">
      <c r="A231" s="24" t="s">
        <v>48</v>
      </c>
      <c r="B231" s="20"/>
      <c r="C231" s="20"/>
      <c r="D231" s="124">
        <v>1</v>
      </c>
      <c r="E231" s="25">
        <f>$G$50</f>
        <v>7800.000000000001</v>
      </c>
      <c r="F231" s="124">
        <v>1</v>
      </c>
      <c r="G231" s="25">
        <f>$G$50</f>
        <v>7800.000000000001</v>
      </c>
    </row>
    <row r="232" spans="1:7" ht="12.75">
      <c r="A232" s="35"/>
      <c r="B232" s="20"/>
      <c r="C232" s="20"/>
      <c r="D232" s="124">
        <v>2</v>
      </c>
      <c r="E232" s="25">
        <f>$H$50</f>
        <v>7800.000000000001</v>
      </c>
      <c r="F232" s="124">
        <v>2</v>
      </c>
      <c r="G232" s="25">
        <f>$H$50</f>
        <v>7800.000000000001</v>
      </c>
    </row>
    <row r="233" spans="1:7" ht="12.75">
      <c r="A233" s="35"/>
      <c r="B233" s="20"/>
      <c r="C233" s="20"/>
      <c r="D233" s="124">
        <v>3</v>
      </c>
      <c r="E233" s="25">
        <f>$I$50</f>
        <v>7800.000000000001</v>
      </c>
      <c r="F233" s="124">
        <v>3</v>
      </c>
      <c r="G233" s="25">
        <f>$I$50</f>
        <v>7800.000000000001</v>
      </c>
    </row>
    <row r="234" spans="1:7" ht="12.75">
      <c r="A234" s="35"/>
      <c r="B234" s="20"/>
      <c r="C234" s="20"/>
      <c r="D234" s="124">
        <v>4</v>
      </c>
      <c r="E234" s="25">
        <f>$J$50</f>
        <v>7800.000000000001</v>
      </c>
      <c r="F234" s="124">
        <v>4</v>
      </c>
      <c r="G234" s="25">
        <f>$J$50</f>
        <v>7800.000000000001</v>
      </c>
    </row>
    <row r="235" spans="1:7" ht="12.75">
      <c r="A235" s="120" t="s">
        <v>108</v>
      </c>
      <c r="B235" s="118"/>
      <c r="C235" s="118"/>
      <c r="D235" s="123">
        <v>1</v>
      </c>
      <c r="E235" s="119">
        <f>$G$49</f>
        <v>-10500</v>
      </c>
      <c r="F235" s="123">
        <v>1</v>
      </c>
      <c r="G235" s="119"/>
    </row>
    <row r="236" spans="1:7" ht="12.75">
      <c r="A236" s="35"/>
      <c r="B236" s="20"/>
      <c r="C236" s="20"/>
      <c r="D236" s="124">
        <v>2</v>
      </c>
      <c r="E236" s="25">
        <f>$H$49</f>
        <v>-7000</v>
      </c>
      <c r="F236" s="124">
        <v>2</v>
      </c>
      <c r="G236" s="25"/>
    </row>
    <row r="237" spans="1:7" ht="12.75">
      <c r="A237" s="35"/>
      <c r="B237" s="20"/>
      <c r="C237" s="20"/>
      <c r="D237" s="124">
        <v>3</v>
      </c>
      <c r="E237" s="25">
        <f>$I$49</f>
        <v>-5250</v>
      </c>
      <c r="F237" s="124">
        <v>3</v>
      </c>
      <c r="G237" s="25"/>
    </row>
    <row r="238" spans="1:7" ht="12.75">
      <c r="A238" s="57"/>
      <c r="B238" s="58"/>
      <c r="C238" s="58"/>
      <c r="D238" s="125">
        <v>4</v>
      </c>
      <c r="E238" s="94">
        <f>$J$49</f>
        <v>-3500</v>
      </c>
      <c r="F238" s="125">
        <v>4</v>
      </c>
      <c r="G238" s="94"/>
    </row>
    <row r="239" spans="1:7" ht="12.75">
      <c r="A239" s="24" t="s">
        <v>58</v>
      </c>
      <c r="B239" s="20"/>
      <c r="C239" s="20"/>
      <c r="D239" s="124">
        <v>1</v>
      </c>
      <c r="E239" s="25">
        <f>$G$51</f>
        <v>7800.000000000001</v>
      </c>
      <c r="F239" s="124">
        <v>1</v>
      </c>
      <c r="G239" s="25">
        <f>$G$51</f>
        <v>7800.000000000001</v>
      </c>
    </row>
    <row r="240" spans="1:7" ht="12.75">
      <c r="A240" s="35"/>
      <c r="B240" s="20"/>
      <c r="C240" s="20"/>
      <c r="D240" s="124">
        <v>2</v>
      </c>
      <c r="E240" s="25">
        <f>$H$51</f>
        <v>8320</v>
      </c>
      <c r="F240" s="124">
        <v>2</v>
      </c>
      <c r="G240" s="25">
        <f>$H$51</f>
        <v>8320</v>
      </c>
    </row>
    <row r="241" spans="1:7" ht="12.75">
      <c r="A241" s="35"/>
      <c r="B241" s="20"/>
      <c r="C241" s="20"/>
      <c r="D241" s="124">
        <v>3</v>
      </c>
      <c r="E241" s="25">
        <f>$I$51</f>
        <v>8840</v>
      </c>
      <c r="F241" s="124">
        <v>3</v>
      </c>
      <c r="G241" s="25">
        <f>$I$51</f>
        <v>8840</v>
      </c>
    </row>
    <row r="242" spans="1:7" ht="12.75">
      <c r="A242" s="35"/>
      <c r="B242" s="20"/>
      <c r="C242" s="20"/>
      <c r="D242" s="124">
        <v>4</v>
      </c>
      <c r="E242" s="25">
        <f>$J$51</f>
        <v>9620.000000000002</v>
      </c>
      <c r="F242" s="124">
        <v>4</v>
      </c>
      <c r="G242" s="25">
        <f>$J$51</f>
        <v>9620.000000000002</v>
      </c>
    </row>
    <row r="243" spans="1:7" ht="12.75">
      <c r="A243" s="120" t="s">
        <v>59</v>
      </c>
      <c r="B243" s="118"/>
      <c r="C243" s="118"/>
      <c r="D243" s="123">
        <v>1</v>
      </c>
      <c r="E243" s="119">
        <f>$G$52</f>
        <v>1000</v>
      </c>
      <c r="F243" s="123">
        <v>1</v>
      </c>
      <c r="G243" s="119">
        <f>$G$52</f>
        <v>1000</v>
      </c>
    </row>
    <row r="244" spans="1:7" ht="12.75">
      <c r="A244" s="35"/>
      <c r="B244" s="20"/>
      <c r="C244" s="20"/>
      <c r="D244" s="124">
        <v>2</v>
      </c>
      <c r="E244" s="25">
        <f>$H$52</f>
        <v>1000</v>
      </c>
      <c r="F244" s="124">
        <v>2</v>
      </c>
      <c r="G244" s="25">
        <f>$H$52</f>
        <v>1000</v>
      </c>
    </row>
    <row r="245" spans="1:7" ht="12.75">
      <c r="A245" s="35"/>
      <c r="B245" s="20"/>
      <c r="C245" s="20"/>
      <c r="D245" s="124">
        <v>3</v>
      </c>
      <c r="E245" s="25">
        <f>$I$52</f>
        <v>1000</v>
      </c>
      <c r="F245" s="124">
        <v>3</v>
      </c>
      <c r="G245" s="25">
        <f>$I$52</f>
        <v>1000</v>
      </c>
    </row>
    <row r="246" spans="1:7" ht="12.75">
      <c r="A246" s="57"/>
      <c r="B246" s="58"/>
      <c r="C246" s="58"/>
      <c r="D246" s="125">
        <v>4</v>
      </c>
      <c r="E246" s="94">
        <f>$J$52</f>
        <v>1000</v>
      </c>
      <c r="F246" s="125">
        <v>4</v>
      </c>
      <c r="G246" s="94">
        <f>$J$52</f>
        <v>1000</v>
      </c>
    </row>
    <row r="247" spans="1:7" ht="12.75">
      <c r="A247" s="120" t="s">
        <v>60</v>
      </c>
      <c r="B247" s="118"/>
      <c r="C247" s="118"/>
      <c r="D247" s="123">
        <v>1</v>
      </c>
      <c r="E247" s="119">
        <f>$G$53</f>
        <v>6000</v>
      </c>
      <c r="F247" s="123">
        <v>1</v>
      </c>
      <c r="G247" s="119">
        <f>$G$53</f>
        <v>6000</v>
      </c>
    </row>
    <row r="248" spans="1:7" ht="12.75">
      <c r="A248" s="35"/>
      <c r="B248" s="20"/>
      <c r="C248" s="20"/>
      <c r="D248" s="124">
        <v>2</v>
      </c>
      <c r="E248" s="25">
        <f>$H$53</f>
        <v>8000</v>
      </c>
      <c r="F248" s="124">
        <v>2</v>
      </c>
      <c r="G248" s="25">
        <f>$H$53</f>
        <v>8000</v>
      </c>
    </row>
    <row r="249" spans="1:7" ht="12.75">
      <c r="A249" s="35"/>
      <c r="B249" s="20"/>
      <c r="C249" s="20"/>
      <c r="D249" s="124">
        <v>3</v>
      </c>
      <c r="E249" s="25">
        <f>$I$53</f>
        <v>10000</v>
      </c>
      <c r="F249" s="124">
        <v>3</v>
      </c>
      <c r="G249" s="25">
        <f>$I$53</f>
        <v>10000</v>
      </c>
    </row>
    <row r="250" spans="1:7" ht="12.75">
      <c r="A250" s="57"/>
      <c r="B250" s="58"/>
      <c r="C250" s="58"/>
      <c r="D250" s="125">
        <v>4</v>
      </c>
      <c r="E250" s="94">
        <f>$J$53</f>
        <v>12400</v>
      </c>
      <c r="F250" s="125">
        <v>4</v>
      </c>
      <c r="G250" s="94">
        <f>$J$53</f>
        <v>12400</v>
      </c>
    </row>
    <row r="251" spans="1:7" ht="12.75">
      <c r="A251" s="120" t="s">
        <v>26</v>
      </c>
      <c r="B251" s="118"/>
      <c r="C251" s="118"/>
      <c r="D251" s="123">
        <v>1</v>
      </c>
      <c r="E251" s="119">
        <f>$G$54</f>
        <v>1600</v>
      </c>
      <c r="F251" s="123">
        <v>1</v>
      </c>
      <c r="G251" s="119">
        <f>$G$54</f>
        <v>1600</v>
      </c>
    </row>
    <row r="252" spans="1:7" ht="12.75">
      <c r="A252" s="35"/>
      <c r="B252" s="20"/>
      <c r="C252" s="20"/>
      <c r="D252" s="124">
        <v>2</v>
      </c>
      <c r="E252" s="25">
        <f>$H$54</f>
        <v>1600</v>
      </c>
      <c r="F252" s="124">
        <v>2</v>
      </c>
      <c r="G252" s="25">
        <f>$H$54</f>
        <v>1600</v>
      </c>
    </row>
    <row r="253" spans="1:7" ht="12.75">
      <c r="A253" s="35"/>
      <c r="B253" s="20"/>
      <c r="C253" s="20"/>
      <c r="D253" s="124">
        <v>3</v>
      </c>
      <c r="E253" s="25">
        <f>$I$54</f>
        <v>2400</v>
      </c>
      <c r="F253" s="124">
        <v>3</v>
      </c>
      <c r="G253" s="25">
        <f>$I$54</f>
        <v>2400</v>
      </c>
    </row>
    <row r="254" spans="1:7" ht="12.75">
      <c r="A254" s="57"/>
      <c r="B254" s="58"/>
      <c r="C254" s="58"/>
      <c r="D254" s="125">
        <v>4</v>
      </c>
      <c r="E254" s="94">
        <f>$J$54</f>
        <v>4000</v>
      </c>
      <c r="F254" s="125">
        <v>4</v>
      </c>
      <c r="G254" s="94">
        <f>$J$54</f>
        <v>4000</v>
      </c>
    </row>
    <row r="255" spans="1:7" ht="12.75">
      <c r="A255" s="24" t="s">
        <v>61</v>
      </c>
      <c r="B255" s="20"/>
      <c r="C255" s="20"/>
      <c r="D255" s="124">
        <v>1</v>
      </c>
      <c r="E255" s="25">
        <f>$G$56</f>
        <v>0</v>
      </c>
      <c r="F255" s="124">
        <v>1</v>
      </c>
      <c r="G255" s="25"/>
    </row>
    <row r="256" spans="1:7" ht="12.75">
      <c r="A256" s="35"/>
      <c r="B256" s="20"/>
      <c r="C256" s="20"/>
      <c r="D256" s="124">
        <v>2</v>
      </c>
      <c r="E256" s="25">
        <f>$H$56</f>
        <v>2067.2000000000016</v>
      </c>
      <c r="F256" s="124">
        <v>2</v>
      </c>
      <c r="G256" s="25"/>
    </row>
    <row r="257" spans="1:7" ht="12.75">
      <c r="A257" s="35"/>
      <c r="B257" s="20"/>
      <c r="C257" s="20"/>
      <c r="D257" s="124">
        <v>3</v>
      </c>
      <c r="E257" s="25">
        <f>$I$56</f>
        <v>23608.49600000001</v>
      </c>
      <c r="F257" s="124">
        <v>3</v>
      </c>
      <c r="G257" s="25"/>
    </row>
    <row r="258" spans="1:7" ht="12.75">
      <c r="A258" s="35"/>
      <c r="B258" s="20"/>
      <c r="C258" s="20"/>
      <c r="D258" s="124">
        <v>4</v>
      </c>
      <c r="E258" s="25">
        <f>$J$56</f>
        <v>31105.93600000001</v>
      </c>
      <c r="F258" s="124">
        <v>4</v>
      </c>
      <c r="G258" s="25"/>
    </row>
    <row r="259" spans="1:7" ht="13.5" thickBot="1">
      <c r="A259" s="126" t="s">
        <v>67</v>
      </c>
      <c r="B259" s="127"/>
      <c r="C259" s="127"/>
      <c r="D259" s="128">
        <v>4</v>
      </c>
      <c r="E259" s="129">
        <f>$J$57</f>
        <v>5000.000000000005</v>
      </c>
      <c r="F259" s="128">
        <v>4</v>
      </c>
      <c r="G259" s="129">
        <f>$J$57</f>
        <v>5000.000000000005</v>
      </c>
    </row>
    <row r="260" spans="1:7" ht="13.5" thickTop="1">
      <c r="A260" s="35" t="s">
        <v>149</v>
      </c>
      <c r="B260" s="20"/>
      <c r="C260" s="20"/>
      <c r="D260" s="149">
        <f>SUM(E219:E259)</f>
        <v>285111.63200000004</v>
      </c>
      <c r="E260" s="150"/>
      <c r="F260" s="149">
        <f>SUM(G219:G259)</f>
        <v>254580</v>
      </c>
      <c r="G260" s="150"/>
    </row>
    <row r="261" spans="1:7" ht="13.5" thickBot="1">
      <c r="A261" s="36" t="s">
        <v>150</v>
      </c>
      <c r="B261" s="28"/>
      <c r="C261" s="28"/>
      <c r="D261" s="151">
        <f>D260/$F$26/$D$259</f>
        <v>35.638954000000005</v>
      </c>
      <c r="E261" s="152"/>
      <c r="F261" s="151">
        <f>F260/$F$26/$D$259</f>
        <v>31.8225</v>
      </c>
      <c r="G261" s="152"/>
    </row>
  </sheetData>
  <mergeCells count="16">
    <mergeCell ref="D260:E260"/>
    <mergeCell ref="D261:E261"/>
    <mergeCell ref="F260:G260"/>
    <mergeCell ref="F261:G261"/>
    <mergeCell ref="D195:H195"/>
    <mergeCell ref="D197:H197"/>
    <mergeCell ref="D190:H190"/>
    <mergeCell ref="D191:H191"/>
    <mergeCell ref="F29:K29"/>
    <mergeCell ref="F41:K41"/>
    <mergeCell ref="D170:H170"/>
    <mergeCell ref="D172:H172"/>
    <mergeCell ref="D217:E217"/>
    <mergeCell ref="F217:G217"/>
    <mergeCell ref="D215:H215"/>
    <mergeCell ref="D216:H216"/>
  </mergeCells>
  <printOptions headings="1" horizontalCentered="1"/>
  <pageMargins left="0.65" right="0.4" top="0.49" bottom="0.5" header="0.5" footer="0.5"/>
  <pageSetup orientation="portrait" scale="75" r:id="rId2"/>
  <headerFooter alignWithMargins="0">
    <oddFooter>&amp;LR. I. Carr &amp;D&amp;CEquipment Cost Spreadsheet&amp;RPage &amp;P</oddFooter>
  </headerFooter>
  <rowBreaks count="4" manualBreakCount="4">
    <brk id="60" max="255" man="1"/>
    <brk id="124" max="255" man="1"/>
    <brk id="168" max="255" man="1"/>
    <brk id="216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170"/>
  <sheetViews>
    <sheetView showGridLines="0" workbookViewId="0" topLeftCell="A21">
      <selection activeCell="A130" sqref="A130"/>
    </sheetView>
  </sheetViews>
  <sheetFormatPr defaultColWidth="9.7109375" defaultRowHeight="12.75"/>
  <cols>
    <col min="1" max="1" width="25.7109375" style="0" customWidth="1"/>
    <col min="2" max="2" width="9.00390625" style="0" customWidth="1"/>
    <col min="3" max="3" width="9.28125" style="0" customWidth="1"/>
    <col min="4" max="6" width="9.140625" style="0" customWidth="1"/>
    <col min="7" max="7" width="9.28125" style="0" customWidth="1"/>
    <col min="8" max="12" width="8.28125" style="0" customWidth="1"/>
    <col min="13" max="13" width="8.7109375" style="0" customWidth="1"/>
    <col min="14" max="15" width="7.7109375" style="0" customWidth="1"/>
  </cols>
  <sheetData>
    <row r="1" spans="1:12" ht="15.75">
      <c r="A1" s="90" t="s">
        <v>102</v>
      </c>
      <c r="L1" s="103" t="s">
        <v>112</v>
      </c>
    </row>
    <row r="2" spans="1:5" ht="13.5" thickBot="1">
      <c r="A2" s="61"/>
      <c r="E2" s="61"/>
    </row>
    <row r="3" spans="1:3" ht="13.5" thickBot="1">
      <c r="A3" s="62" t="s">
        <v>2</v>
      </c>
      <c r="B3" s="50"/>
      <c r="C3" s="51"/>
    </row>
    <row r="4" spans="1:3" ht="12.75">
      <c r="A4" s="29" t="s">
        <v>3</v>
      </c>
      <c r="B4" s="30"/>
      <c r="C4" s="37"/>
    </row>
    <row r="5" spans="1:3" ht="12.75">
      <c r="A5" s="24" t="s">
        <v>110</v>
      </c>
      <c r="B5" s="20"/>
      <c r="C5" s="44"/>
    </row>
    <row r="6" spans="1:3" ht="12.75">
      <c r="A6" s="24" t="s">
        <v>111</v>
      </c>
      <c r="B6" s="20"/>
      <c r="C6" s="44"/>
    </row>
    <row r="7" spans="1:3" ht="12.75">
      <c r="A7" s="24" t="s">
        <v>4</v>
      </c>
      <c r="B7" s="20"/>
      <c r="C7" s="44"/>
    </row>
    <row r="8" spans="1:3" ht="12.75">
      <c r="A8" s="24" t="s">
        <v>81</v>
      </c>
      <c r="B8" s="20"/>
      <c r="C8" s="44"/>
    </row>
    <row r="9" spans="1:3" ht="12.75">
      <c r="A9" s="24" t="s">
        <v>109</v>
      </c>
      <c r="B9" s="20"/>
      <c r="C9" s="44"/>
    </row>
    <row r="10" spans="1:3" ht="12.75">
      <c r="A10" s="24" t="s">
        <v>82</v>
      </c>
      <c r="B10" s="20"/>
      <c r="C10" s="44"/>
    </row>
    <row r="11" spans="1:3" ht="12.75">
      <c r="A11" s="24" t="s">
        <v>83</v>
      </c>
      <c r="B11" s="20"/>
      <c r="C11" s="44"/>
    </row>
    <row r="12" spans="1:3" ht="12.75">
      <c r="A12" s="24" t="s">
        <v>109</v>
      </c>
      <c r="B12" s="20"/>
      <c r="C12" s="44"/>
    </row>
    <row r="13" spans="1:3" ht="13.5" thickBot="1">
      <c r="A13" s="27" t="s">
        <v>82</v>
      </c>
      <c r="B13" s="28"/>
      <c r="C13" s="45"/>
    </row>
    <row r="14" ht="13.5" thickBot="1"/>
    <row r="15" spans="1:12" ht="13.5" thickBot="1">
      <c r="A15" s="63" t="s">
        <v>3</v>
      </c>
      <c r="B15" s="30"/>
      <c r="C15" s="30"/>
      <c r="D15" s="30"/>
      <c r="E15" s="30"/>
      <c r="F15" s="37"/>
      <c r="G15" s="20"/>
      <c r="H15" s="20"/>
      <c r="I15" s="20"/>
      <c r="J15" s="20"/>
      <c r="K15" s="20"/>
      <c r="L15" s="20"/>
    </row>
    <row r="16" spans="1:12" ht="12.75">
      <c r="A16" s="22" t="s">
        <v>88</v>
      </c>
      <c r="B16" s="23"/>
      <c r="C16" s="23"/>
      <c r="D16" s="23"/>
      <c r="E16" s="23"/>
      <c r="F16" s="59"/>
      <c r="G16" s="20"/>
      <c r="H16" s="20"/>
      <c r="I16" s="20"/>
      <c r="J16" s="20"/>
      <c r="K16" s="20"/>
      <c r="L16" s="20"/>
    </row>
    <row r="17" spans="1:6" ht="12.75">
      <c r="A17" s="24" t="s">
        <v>7</v>
      </c>
      <c r="B17" s="20"/>
      <c r="C17" s="20"/>
      <c r="D17" s="20"/>
      <c r="E17" s="20"/>
      <c r="F17" s="40">
        <v>100000</v>
      </c>
    </row>
    <row r="18" spans="1:6" ht="12.75">
      <c r="A18" s="24" t="s">
        <v>8</v>
      </c>
      <c r="B18" s="20"/>
      <c r="C18" s="20"/>
      <c r="D18" s="20"/>
      <c r="E18" s="20"/>
      <c r="F18" s="38">
        <v>0.2</v>
      </c>
    </row>
    <row r="19" spans="1:6" ht="12.75">
      <c r="A19" s="24" t="s">
        <v>9</v>
      </c>
      <c r="B19" s="20"/>
      <c r="C19" s="20"/>
      <c r="D19" s="20"/>
      <c r="E19" s="20"/>
      <c r="F19" s="39">
        <v>0.06</v>
      </c>
    </row>
    <row r="20" spans="1:6" ht="12.75">
      <c r="A20" s="24" t="s">
        <v>10</v>
      </c>
      <c r="B20" s="20"/>
      <c r="C20" s="20"/>
      <c r="D20" s="20"/>
      <c r="E20" s="20"/>
      <c r="F20" s="38">
        <v>0.35</v>
      </c>
    </row>
    <row r="21" spans="1:6" ht="12.75">
      <c r="A21" s="24" t="s">
        <v>11</v>
      </c>
      <c r="B21" s="20"/>
      <c r="C21" s="20"/>
      <c r="D21" s="20"/>
      <c r="E21" s="20"/>
      <c r="F21" s="40">
        <v>12000</v>
      </c>
    </row>
    <row r="22" spans="1:6" ht="12.75">
      <c r="A22" s="24" t="s">
        <v>12</v>
      </c>
      <c r="B22" s="20"/>
      <c r="C22" s="20"/>
      <c r="D22" s="20"/>
      <c r="E22" s="20"/>
      <c r="F22" s="41">
        <v>4000</v>
      </c>
    </row>
    <row r="23" spans="1:6" ht="12.75">
      <c r="A23" s="24" t="s">
        <v>13</v>
      </c>
      <c r="B23" s="20"/>
      <c r="C23" s="20"/>
      <c r="D23" s="20"/>
      <c r="E23" s="20"/>
      <c r="F23" s="38">
        <v>0.3</v>
      </c>
    </row>
    <row r="24" spans="1:6" ht="12.75">
      <c r="A24" s="24" t="s">
        <v>14</v>
      </c>
      <c r="B24" s="20"/>
      <c r="C24" s="20"/>
      <c r="D24" s="20"/>
      <c r="E24" s="20"/>
      <c r="F24" s="42">
        <v>1.3</v>
      </c>
    </row>
    <row r="25" spans="1:6" ht="12.75">
      <c r="A25" s="24" t="s">
        <v>15</v>
      </c>
      <c r="B25" s="20"/>
      <c r="C25" s="20"/>
      <c r="D25" s="20"/>
      <c r="E25" s="20"/>
      <c r="F25" s="42">
        <v>0.5</v>
      </c>
    </row>
    <row r="26" spans="1:6" ht="12.75">
      <c r="A26" s="24" t="s">
        <v>16</v>
      </c>
      <c r="B26" s="20"/>
      <c r="C26" s="20"/>
      <c r="D26" s="20"/>
      <c r="E26" s="20"/>
      <c r="F26" s="41">
        <v>2000</v>
      </c>
    </row>
    <row r="27" spans="1:6" ht="12.75">
      <c r="A27" s="24" t="s">
        <v>17</v>
      </c>
      <c r="B27" s="20"/>
      <c r="C27" s="20"/>
      <c r="D27" s="20"/>
      <c r="E27" s="20"/>
      <c r="F27" s="42">
        <v>90</v>
      </c>
    </row>
    <row r="28" spans="1:6" ht="13.5" thickBot="1">
      <c r="A28" s="27" t="s">
        <v>18</v>
      </c>
      <c r="B28" s="28"/>
      <c r="C28" s="28"/>
      <c r="D28" s="28"/>
      <c r="E28" s="28"/>
      <c r="F28" s="43">
        <v>40</v>
      </c>
    </row>
    <row r="29" spans="1:12" ht="12.75">
      <c r="A29" s="52"/>
      <c r="B29" s="30"/>
      <c r="C29" s="30"/>
      <c r="D29" s="30"/>
      <c r="E29" s="30"/>
      <c r="F29" s="141" t="s">
        <v>19</v>
      </c>
      <c r="G29" s="142"/>
      <c r="H29" s="142"/>
      <c r="I29" s="142"/>
      <c r="J29" s="142"/>
      <c r="K29" s="142"/>
      <c r="L29" s="37"/>
    </row>
    <row r="30" spans="1:12" ht="12.75">
      <c r="A30" s="57" t="s">
        <v>87</v>
      </c>
      <c r="B30" s="58"/>
      <c r="C30" s="58"/>
      <c r="D30" s="58"/>
      <c r="E30" s="58"/>
      <c r="F30" s="55">
        <v>0</v>
      </c>
      <c r="G30" s="54">
        <v>1</v>
      </c>
      <c r="H30" s="54">
        <v>2</v>
      </c>
      <c r="I30" s="54">
        <v>3</v>
      </c>
      <c r="J30" s="54">
        <v>4</v>
      </c>
      <c r="K30" s="54">
        <v>5</v>
      </c>
      <c r="L30" s="56"/>
    </row>
    <row r="31" spans="1:12" ht="12.75">
      <c r="A31" s="24" t="s">
        <v>20</v>
      </c>
      <c r="B31" s="20"/>
      <c r="C31" s="17"/>
      <c r="D31" s="20"/>
      <c r="E31" s="20"/>
      <c r="F31" s="34">
        <v>1</v>
      </c>
      <c r="G31" s="31">
        <v>0.7</v>
      </c>
      <c r="H31" s="31">
        <v>0.5</v>
      </c>
      <c r="I31" s="31">
        <v>0.35</v>
      </c>
      <c r="J31" s="31">
        <v>0.25</v>
      </c>
      <c r="K31" s="31">
        <v>0.2</v>
      </c>
      <c r="L31" s="44"/>
    </row>
    <row r="32" spans="1:12" ht="12.75">
      <c r="A32" s="24" t="s">
        <v>21</v>
      </c>
      <c r="B32" s="20"/>
      <c r="C32" s="17"/>
      <c r="D32" s="20"/>
      <c r="E32" s="20"/>
      <c r="F32" s="35"/>
      <c r="G32" s="31">
        <v>3</v>
      </c>
      <c r="H32" s="31">
        <v>3.2</v>
      </c>
      <c r="I32" s="31">
        <v>3.4</v>
      </c>
      <c r="J32" s="31">
        <v>3.7</v>
      </c>
      <c r="K32" s="31">
        <v>4</v>
      </c>
      <c r="L32" s="44"/>
    </row>
    <row r="33" spans="1:12" ht="12.75">
      <c r="A33" s="24" t="s">
        <v>22</v>
      </c>
      <c r="B33" s="20"/>
      <c r="C33" s="17"/>
      <c r="D33" s="20"/>
      <c r="E33" s="20"/>
      <c r="F33" s="35"/>
      <c r="G33" s="31">
        <v>0</v>
      </c>
      <c r="H33" s="31">
        <v>0.01</v>
      </c>
      <c r="I33" s="31">
        <v>0.03</v>
      </c>
      <c r="J33" s="31">
        <v>0.06</v>
      </c>
      <c r="K33" s="31">
        <v>0.1</v>
      </c>
      <c r="L33" s="44"/>
    </row>
    <row r="34" spans="1:12" ht="12.75">
      <c r="A34" s="24" t="s">
        <v>23</v>
      </c>
      <c r="B34" s="20"/>
      <c r="C34" s="17"/>
      <c r="D34" s="20"/>
      <c r="E34" s="20"/>
      <c r="F34" s="35"/>
      <c r="G34" s="31">
        <v>0</v>
      </c>
      <c r="H34" s="31">
        <v>0</v>
      </c>
      <c r="I34" s="31">
        <v>0.08</v>
      </c>
      <c r="J34" s="31">
        <v>0.08</v>
      </c>
      <c r="K34" s="31">
        <v>0.08</v>
      </c>
      <c r="L34" s="44"/>
    </row>
    <row r="35" spans="1:12" ht="12.75">
      <c r="A35" s="24" t="s">
        <v>24</v>
      </c>
      <c r="B35" s="20"/>
      <c r="C35" s="17"/>
      <c r="D35" s="20"/>
      <c r="E35" s="20"/>
      <c r="F35" s="34">
        <v>1</v>
      </c>
      <c r="G35" s="31">
        <v>1</v>
      </c>
      <c r="H35" s="31">
        <v>1</v>
      </c>
      <c r="I35" s="31">
        <v>1.05</v>
      </c>
      <c r="J35" s="31">
        <v>1.05</v>
      </c>
      <c r="K35" s="31">
        <v>1.05</v>
      </c>
      <c r="L35" s="44"/>
    </row>
    <row r="36" spans="1:12" ht="12.75">
      <c r="A36" s="24" t="s">
        <v>25</v>
      </c>
      <c r="B36" s="20"/>
      <c r="C36" s="17"/>
      <c r="D36" s="20"/>
      <c r="E36" s="20"/>
      <c r="F36" s="35"/>
      <c r="G36" s="18">
        <v>3</v>
      </c>
      <c r="H36" s="18">
        <v>4</v>
      </c>
      <c r="I36" s="18">
        <v>5</v>
      </c>
      <c r="J36" s="18">
        <v>6.2</v>
      </c>
      <c r="K36" s="18">
        <v>7.5</v>
      </c>
      <c r="L36" s="44"/>
    </row>
    <row r="37" spans="1:12" ht="13.5" thickBot="1">
      <c r="A37" s="27" t="s">
        <v>26</v>
      </c>
      <c r="B37" s="28"/>
      <c r="C37" s="32"/>
      <c r="D37" s="28"/>
      <c r="E37" s="28"/>
      <c r="F37" s="36"/>
      <c r="G37" s="33">
        <v>0.02</v>
      </c>
      <c r="H37" s="33">
        <v>0.02</v>
      </c>
      <c r="I37" s="33">
        <v>0.03</v>
      </c>
      <c r="J37" s="33">
        <v>0.05</v>
      </c>
      <c r="K37" s="33">
        <v>0.08</v>
      </c>
      <c r="L37" s="45"/>
    </row>
    <row r="38" spans="1:13" ht="12.75">
      <c r="A38" s="24"/>
      <c r="B38" s="20"/>
      <c r="C38" s="17"/>
      <c r="D38" s="20"/>
      <c r="E38" s="20"/>
      <c r="F38" s="30"/>
      <c r="G38" s="31"/>
      <c r="H38" s="31"/>
      <c r="I38" s="31"/>
      <c r="J38" s="31"/>
      <c r="K38" s="31"/>
      <c r="L38" s="20"/>
      <c r="M38" s="20"/>
    </row>
    <row r="39" spans="1:13" ht="12.75">
      <c r="A39" s="24"/>
      <c r="B39" s="20"/>
      <c r="C39" s="17"/>
      <c r="D39" s="20"/>
      <c r="E39" s="20"/>
      <c r="F39" s="20"/>
      <c r="G39" s="31"/>
      <c r="H39" s="31"/>
      <c r="I39" s="31"/>
      <c r="J39" s="31"/>
      <c r="K39" s="31"/>
      <c r="L39" s="20"/>
      <c r="M39" s="20"/>
    </row>
    <row r="40" spans="1:13" ht="13.5" thickBot="1">
      <c r="A40" s="64" t="s">
        <v>4</v>
      </c>
      <c r="B40" s="20"/>
      <c r="C40" s="17"/>
      <c r="D40" s="20"/>
      <c r="E40" s="20"/>
      <c r="F40" s="20"/>
      <c r="G40" s="31"/>
      <c r="H40" s="31"/>
      <c r="I40" s="31"/>
      <c r="J40" s="31"/>
      <c r="K40" s="31"/>
      <c r="L40" s="20"/>
      <c r="M40" s="20"/>
    </row>
    <row r="41" spans="1:13" ht="12.75">
      <c r="A41" s="52"/>
      <c r="B41" s="30"/>
      <c r="C41" s="30"/>
      <c r="D41" s="30"/>
      <c r="E41" s="30"/>
      <c r="F41" s="141" t="s">
        <v>19</v>
      </c>
      <c r="G41" s="142"/>
      <c r="H41" s="142"/>
      <c r="I41" s="142"/>
      <c r="J41" s="142"/>
      <c r="K41" s="142"/>
      <c r="L41" s="37"/>
      <c r="M41" s="20"/>
    </row>
    <row r="42" spans="1:13" ht="12.75">
      <c r="A42" s="57" t="s">
        <v>87</v>
      </c>
      <c r="B42" s="58"/>
      <c r="C42" s="58"/>
      <c r="D42" s="58"/>
      <c r="E42" s="58"/>
      <c r="F42" s="85">
        <v>0</v>
      </c>
      <c r="G42" s="86">
        <v>1</v>
      </c>
      <c r="H42" s="86">
        <v>2</v>
      </c>
      <c r="I42" s="86">
        <v>3</v>
      </c>
      <c r="J42" s="86">
        <v>4</v>
      </c>
      <c r="K42" s="86">
        <v>5</v>
      </c>
      <c r="L42" s="102"/>
      <c r="M42" s="20"/>
    </row>
    <row r="43" spans="1:12" ht="12.75">
      <c r="A43" s="24" t="s">
        <v>27</v>
      </c>
      <c r="B43" s="20"/>
      <c r="C43" s="20"/>
      <c r="D43" s="20"/>
      <c r="E43" s="20"/>
      <c r="F43" s="46">
        <f aca="true" t="shared" si="0" ref="F43:K43">$F$17*F31</f>
        <v>100000</v>
      </c>
      <c r="G43" s="17">
        <f t="shared" si="0"/>
        <v>70000</v>
      </c>
      <c r="H43" s="17">
        <f t="shared" si="0"/>
        <v>50000</v>
      </c>
      <c r="I43" s="17">
        <f t="shared" si="0"/>
        <v>35000</v>
      </c>
      <c r="J43" s="17">
        <f t="shared" si="0"/>
        <v>25000</v>
      </c>
      <c r="K43" s="17">
        <f t="shared" si="0"/>
        <v>20000</v>
      </c>
      <c r="L43" s="44"/>
    </row>
    <row r="44" spans="1:12" ht="12.75">
      <c r="A44" s="24" t="s">
        <v>28</v>
      </c>
      <c r="B44" s="20"/>
      <c r="C44" s="20"/>
      <c r="D44" s="20"/>
      <c r="E44" s="20"/>
      <c r="F44" s="35"/>
      <c r="G44" s="17">
        <f>F43</f>
        <v>100000</v>
      </c>
      <c r="H44" s="17">
        <f>$F$17*G31</f>
        <v>70000</v>
      </c>
      <c r="I44" s="17">
        <f>$F$17*H31</f>
        <v>50000</v>
      </c>
      <c r="J44" s="17">
        <f>$F$17*I31</f>
        <v>35000</v>
      </c>
      <c r="K44" s="17">
        <f>$F$17*J31</f>
        <v>25000</v>
      </c>
      <c r="L44" s="25"/>
    </row>
    <row r="45" spans="1:12" ht="12.75">
      <c r="A45" s="24" t="s">
        <v>29</v>
      </c>
      <c r="B45" s="20"/>
      <c r="C45" s="20"/>
      <c r="D45" s="20"/>
      <c r="E45" s="20"/>
      <c r="F45" s="35"/>
      <c r="G45" s="17">
        <f>G44-G43</f>
        <v>30000</v>
      </c>
      <c r="H45" s="17">
        <f>H44-H43</f>
        <v>20000</v>
      </c>
      <c r="I45" s="17">
        <f>I44-I43</f>
        <v>15000</v>
      </c>
      <c r="J45" s="17">
        <f>J44-J43</f>
        <v>10000</v>
      </c>
      <c r="K45" s="17">
        <f>K44-K43</f>
        <v>5000</v>
      </c>
      <c r="L45" s="25"/>
    </row>
    <row r="46" spans="1:12" ht="12.75">
      <c r="A46" s="24" t="s">
        <v>30</v>
      </c>
      <c r="B46" s="20"/>
      <c r="C46" s="20"/>
      <c r="D46" s="20"/>
      <c r="E46" s="20"/>
      <c r="F46" s="35"/>
      <c r="G46" s="17">
        <f>(G43+G44)/2</f>
        <v>85000</v>
      </c>
      <c r="H46" s="17">
        <f>(H43+H44)/2</f>
        <v>60000</v>
      </c>
      <c r="I46" s="17">
        <f>(I43+I44)/2</f>
        <v>42500</v>
      </c>
      <c r="J46" s="17">
        <f>(J43+J44)/2</f>
        <v>30000</v>
      </c>
      <c r="K46" s="17">
        <f>(K43+K44)/2</f>
        <v>22500</v>
      </c>
      <c r="L46" s="25"/>
    </row>
    <row r="47" spans="1:12" ht="12.75">
      <c r="A47" s="24" t="s">
        <v>31</v>
      </c>
      <c r="B47" s="20"/>
      <c r="C47" s="20"/>
      <c r="D47" s="20"/>
      <c r="E47" s="20"/>
      <c r="F47" s="35"/>
      <c r="G47" s="17">
        <f>$F$19*G44</f>
        <v>6000</v>
      </c>
      <c r="H47" s="17">
        <f>$F$19*H44</f>
        <v>4200</v>
      </c>
      <c r="I47" s="17">
        <f>$F$19*I44</f>
        <v>3000</v>
      </c>
      <c r="J47" s="17">
        <f>$F$19*J44</f>
        <v>2100</v>
      </c>
      <c r="K47" s="17">
        <f>$F$19*K44</f>
        <v>1500</v>
      </c>
      <c r="L47" s="44"/>
    </row>
    <row r="48" spans="1:12" ht="12.75">
      <c r="A48" s="24" t="s">
        <v>120</v>
      </c>
      <c r="B48" s="20"/>
      <c r="C48" s="20"/>
      <c r="D48" s="20"/>
      <c r="E48" s="20"/>
      <c r="F48" s="35"/>
      <c r="G48" s="17">
        <f>$F$18*G46</f>
        <v>17000</v>
      </c>
      <c r="H48" s="17">
        <f>$F$18*H46</f>
        <v>12000</v>
      </c>
      <c r="I48" s="17">
        <f>$F$18*I46</f>
        <v>8500</v>
      </c>
      <c r="J48" s="17">
        <f>$F$18*J46</f>
        <v>6000</v>
      </c>
      <c r="K48" s="17">
        <f>$F$18*K46</f>
        <v>4500</v>
      </c>
      <c r="L48" s="44"/>
    </row>
    <row r="49" spans="1:12" ht="12.75">
      <c r="A49" s="24" t="s">
        <v>113</v>
      </c>
      <c r="B49" s="20"/>
      <c r="C49" s="20"/>
      <c r="D49" s="20"/>
      <c r="E49" s="20"/>
      <c r="F49" s="35"/>
      <c r="G49" s="17">
        <f>$F$20*G45</f>
        <v>10500</v>
      </c>
      <c r="H49" s="17">
        <f>$F$20*H45</f>
        <v>7000</v>
      </c>
      <c r="I49" s="17">
        <f>$F$20*I45</f>
        <v>5250</v>
      </c>
      <c r="J49" s="17">
        <f>$F$20*J45</f>
        <v>3500</v>
      </c>
      <c r="K49" s="17">
        <f>$F$20*K45</f>
        <v>1750</v>
      </c>
      <c r="L49" s="44"/>
    </row>
    <row r="50" spans="1:12" ht="12.75">
      <c r="A50" s="24" t="s">
        <v>33</v>
      </c>
      <c r="B50" s="20"/>
      <c r="C50" s="20"/>
      <c r="D50" s="20"/>
      <c r="E50" s="20"/>
      <c r="F50" s="35"/>
      <c r="G50" s="17">
        <f>($F$21/$F$22)*(1+$F$23)*$F$26</f>
        <v>7800.000000000001</v>
      </c>
      <c r="H50" s="17">
        <f>($F$21/$F$22)*(1+$F$23)*$F$26</f>
        <v>7800.000000000001</v>
      </c>
      <c r="I50" s="17">
        <f>($F$21/$F$22)*(1+$F$23)*$F$26</f>
        <v>7800.000000000001</v>
      </c>
      <c r="J50" s="17">
        <f>($F$21/$F$22)*(1+$F$23)*$F$26</f>
        <v>7800.000000000001</v>
      </c>
      <c r="K50" s="17">
        <f>($F$21/$F$22)*(1+$F$23)*$F$26</f>
        <v>7800.000000000001</v>
      </c>
      <c r="L50" s="44"/>
    </row>
    <row r="51" spans="1:12" ht="12.75">
      <c r="A51" s="24" t="s">
        <v>34</v>
      </c>
      <c r="B51" s="20"/>
      <c r="C51" s="20"/>
      <c r="D51" s="20"/>
      <c r="E51" s="20"/>
      <c r="F51" s="35"/>
      <c r="G51" s="17">
        <f>$F$24*G$32*$F$26</f>
        <v>7800.000000000001</v>
      </c>
      <c r="H51" s="17">
        <f>$F$24*H$32*$F$26</f>
        <v>8320</v>
      </c>
      <c r="I51" s="17">
        <f>$F$24*I$32*$F$26</f>
        <v>8840</v>
      </c>
      <c r="J51" s="17">
        <f>$F$24*J$32*$F$26</f>
        <v>9620.000000000002</v>
      </c>
      <c r="K51" s="17">
        <f>$F$24*K$32*$F$26</f>
        <v>10400</v>
      </c>
      <c r="L51" s="44"/>
    </row>
    <row r="52" spans="1:12" ht="12.75">
      <c r="A52" s="24" t="s">
        <v>35</v>
      </c>
      <c r="B52" s="20"/>
      <c r="C52" s="20"/>
      <c r="D52" s="20"/>
      <c r="E52" s="20"/>
      <c r="F52" s="35"/>
      <c r="G52" s="17">
        <f>$F$25*$F$26</f>
        <v>1000</v>
      </c>
      <c r="H52" s="17">
        <f>$F$25*$F$26</f>
        <v>1000</v>
      </c>
      <c r="I52" s="17">
        <f>$F$25*$F$26</f>
        <v>1000</v>
      </c>
      <c r="J52" s="17">
        <f>$F$25*$F$26</f>
        <v>1000</v>
      </c>
      <c r="K52" s="17">
        <f>$F$25*$F$26</f>
        <v>1000</v>
      </c>
      <c r="L52" s="44"/>
    </row>
    <row r="53" spans="1:12" ht="12.75">
      <c r="A53" s="24" t="s">
        <v>36</v>
      </c>
      <c r="B53" s="20"/>
      <c r="C53" s="20"/>
      <c r="D53" s="20"/>
      <c r="E53" s="20"/>
      <c r="F53" s="35"/>
      <c r="G53" s="17">
        <f>$F$26*G$36</f>
        <v>6000</v>
      </c>
      <c r="H53" s="17">
        <f>$F$26*H$36</f>
        <v>8000</v>
      </c>
      <c r="I53" s="17">
        <f>$F$26*I$36</f>
        <v>10000</v>
      </c>
      <c r="J53" s="17">
        <f>$F$26*J$36</f>
        <v>12400</v>
      </c>
      <c r="K53" s="17">
        <f>$F$26*K$36</f>
        <v>15000</v>
      </c>
      <c r="L53" s="44"/>
    </row>
    <row r="54" spans="1:12" ht="12.75">
      <c r="A54" s="24" t="s">
        <v>37</v>
      </c>
      <c r="B54" s="20"/>
      <c r="C54" s="17"/>
      <c r="D54" s="20"/>
      <c r="E54" s="20"/>
      <c r="F54" s="46"/>
      <c r="G54" s="17">
        <f>G$37*$F$28*$F$26</f>
        <v>1600</v>
      </c>
      <c r="H54" s="17">
        <f>H$37*$F$28*$F$26</f>
        <v>1600</v>
      </c>
      <c r="I54" s="17">
        <f>I$37*$F$28*$F$26</f>
        <v>2400</v>
      </c>
      <c r="J54" s="17">
        <f>J$37*$F$28*$F$26</f>
        <v>4000</v>
      </c>
      <c r="K54" s="17">
        <f>K$37*$F$28*$F$26</f>
        <v>6400</v>
      </c>
      <c r="L54" s="44"/>
    </row>
    <row r="55" spans="1:12" ht="12.75">
      <c r="A55" s="24" t="s">
        <v>84</v>
      </c>
      <c r="B55" s="20"/>
      <c r="C55" s="17"/>
      <c r="D55" s="20"/>
      <c r="E55" s="20"/>
      <c r="F55" s="46"/>
      <c r="G55" s="17"/>
      <c r="H55" s="17"/>
      <c r="I55" s="17"/>
      <c r="J55" s="17"/>
      <c r="K55" s="17"/>
      <c r="L55" s="44"/>
    </row>
    <row r="56" spans="1:12" ht="12.75">
      <c r="A56" s="35" t="s">
        <v>86</v>
      </c>
      <c r="B56" s="20"/>
      <c r="C56" s="20"/>
      <c r="D56" s="20"/>
      <c r="E56" s="20"/>
      <c r="F56" s="35"/>
      <c r="G56" s="17">
        <f>((1+G$33)*(1+G$34)-1)*($F$26*$F$27+SUM(G50:G54))</f>
        <v>0</v>
      </c>
      <c r="H56" s="17">
        <f>((1+H$33)*(1+H$34)-1)*($F$26*$F$27+SUM(H50:H54))</f>
        <v>2067.2000000000016</v>
      </c>
      <c r="I56" s="17">
        <f>((1+I$33)*(1+I$34)-1)*($F$26*$F$27+SUM(I50:I54))</f>
        <v>23608.49600000001</v>
      </c>
      <c r="J56" s="17">
        <f>((1+J$33)*(1+J$34)-1)*($F$26*$F$27+SUM(J50:J54))</f>
        <v>31105.93600000001</v>
      </c>
      <c r="K56" s="17">
        <f>((1+K$33)*(1+K$34)-1)*($F$26*$F$27+SUM(K50:K54))</f>
        <v>41472.80000000004</v>
      </c>
      <c r="L56" s="44"/>
    </row>
    <row r="57" spans="1:12" ht="12.75">
      <c r="A57" s="60" t="s">
        <v>39</v>
      </c>
      <c r="B57" s="58"/>
      <c r="C57" s="58"/>
      <c r="D57" s="58"/>
      <c r="E57" s="58"/>
      <c r="F57" s="57"/>
      <c r="G57" s="13">
        <f>$F$17*(G35-1)</f>
        <v>0</v>
      </c>
      <c r="H57" s="13">
        <f>$F$17*(H35-1)</f>
        <v>0</v>
      </c>
      <c r="I57" s="13">
        <f>$F$17*(I35-1)</f>
        <v>5000.000000000005</v>
      </c>
      <c r="J57" s="13">
        <f>$F$17*(J35-1)</f>
        <v>5000.000000000005</v>
      </c>
      <c r="K57" s="13">
        <f>$F$17*(K35-1)</f>
        <v>5000.000000000005</v>
      </c>
      <c r="L57" s="56"/>
    </row>
    <row r="58" spans="1:12" ht="12.75">
      <c r="A58" s="24" t="s">
        <v>40</v>
      </c>
      <c r="B58" t="s">
        <v>98</v>
      </c>
      <c r="C58" s="20"/>
      <c r="D58" s="20"/>
      <c r="E58" s="20"/>
      <c r="F58" s="47">
        <f aca="true" t="shared" si="1" ref="F58:K58">1/((1+$F$18)^F$30)</f>
        <v>1</v>
      </c>
      <c r="G58" s="48">
        <f t="shared" si="1"/>
        <v>0.8333333333333334</v>
      </c>
      <c r="H58" s="48">
        <f t="shared" si="1"/>
        <v>0.6944444444444444</v>
      </c>
      <c r="I58" s="48">
        <f t="shared" si="1"/>
        <v>0.5787037037037037</v>
      </c>
      <c r="J58" s="48">
        <f t="shared" si="1"/>
        <v>0.4822530864197531</v>
      </c>
      <c r="K58" s="48">
        <f t="shared" si="1"/>
        <v>0.4018775720164609</v>
      </c>
      <c r="L58" s="44"/>
    </row>
    <row r="59" spans="1:12" ht="12.75">
      <c r="A59" s="24" t="s">
        <v>100</v>
      </c>
      <c r="B59" s="20"/>
      <c r="C59" s="20"/>
      <c r="D59" s="20"/>
      <c r="E59" s="20"/>
      <c r="F59" s="35"/>
      <c r="G59" s="48">
        <f>$F$18/(((1+$F$18)^G$30)*LN(1+$F$18))</f>
        <v>0.9141358246245131</v>
      </c>
      <c r="H59" s="48">
        <f>$F$18/(((1+$F$18)^H$30)*LN(1+$F$18))</f>
        <v>0.7617798538537609</v>
      </c>
      <c r="I59" s="48">
        <f>$F$18/(((1+$F$18)^I$30)*LN(1+$F$18))</f>
        <v>0.6348165448781341</v>
      </c>
      <c r="J59" s="48">
        <f>$F$18/(((1+$F$18)^J$30)*LN(1+$F$18))</f>
        <v>0.5290137873984451</v>
      </c>
      <c r="K59" s="48">
        <f>$F$18/(((1+$F$18)^K$30)*LN(1+$F$18))</f>
        <v>0.4408448228320376</v>
      </c>
      <c r="L59" s="44"/>
    </row>
    <row r="60" spans="1:12" ht="13.5" thickBot="1">
      <c r="A60" s="27" t="s">
        <v>101</v>
      </c>
      <c r="B60" s="28"/>
      <c r="C60" s="28"/>
      <c r="D60" s="28"/>
      <c r="E60" s="28"/>
      <c r="F60" s="36"/>
      <c r="G60" s="49">
        <f>(((1+$F$18)^G$30)*LN(1+$F$18))/((1+$F$18)^G30-1)</f>
        <v>1.0939293407637278</v>
      </c>
      <c r="H60" s="49">
        <f>(((1+$F$18)^H$30)*LN(1+$F$18))/((1+$F$18)^H30-1)</f>
        <v>0.5966887313256697</v>
      </c>
      <c r="I60" s="49">
        <f>(((1+$F$18)^I$30)*LN(1+$F$18))/((1+$F$18)^I30-1)</f>
        <v>0.43276325568674934</v>
      </c>
      <c r="J60" s="49">
        <f>(((1+$F$18)^J$30)*LN(1+$F$18))/((1+$F$18)^J30-1)</f>
        <v>0.3521441693069526</v>
      </c>
      <c r="K60" s="49">
        <f>(((1+$F$18)^K$30)*LN(1+$F$18))/((1+$F$18)^K30-1)</f>
        <v>0.30482314032031627</v>
      </c>
      <c r="L60" s="45"/>
    </row>
    <row r="61" spans="1:12" ht="13.5" thickBot="1">
      <c r="A61" s="62" t="s">
        <v>89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1"/>
    </row>
    <row r="62" spans="1:12" ht="12.75">
      <c r="A62" s="52"/>
      <c r="B62" s="30"/>
      <c r="C62" s="52"/>
      <c r="D62" s="30"/>
      <c r="E62" s="53" t="s">
        <v>19</v>
      </c>
      <c r="F62" s="30"/>
      <c r="G62" s="30"/>
      <c r="H62" s="52"/>
      <c r="I62" s="30"/>
      <c r="J62" s="53" t="s">
        <v>43</v>
      </c>
      <c r="K62" s="30"/>
      <c r="L62" s="37"/>
    </row>
    <row r="63" spans="1:12" ht="12.75">
      <c r="A63" s="35"/>
      <c r="B63" s="48"/>
      <c r="C63" s="83">
        <v>1</v>
      </c>
      <c r="D63" s="65">
        <v>2</v>
      </c>
      <c r="E63" s="65">
        <v>3</v>
      </c>
      <c r="F63" s="65">
        <v>4</v>
      </c>
      <c r="G63" s="65">
        <v>5</v>
      </c>
      <c r="H63" s="83">
        <v>1</v>
      </c>
      <c r="I63" s="65">
        <v>2</v>
      </c>
      <c r="J63" s="65">
        <v>3</v>
      </c>
      <c r="K63" s="65">
        <v>4</v>
      </c>
      <c r="L63" s="84">
        <v>5</v>
      </c>
    </row>
    <row r="64" spans="1:12" ht="12.75">
      <c r="A64" s="24" t="s">
        <v>44</v>
      </c>
      <c r="B64" s="20"/>
      <c r="C64" s="79"/>
      <c r="D64" s="21"/>
      <c r="E64" s="74" t="s">
        <v>45</v>
      </c>
      <c r="F64" s="21"/>
      <c r="G64" s="21"/>
      <c r="H64" s="75"/>
      <c r="I64" s="21"/>
      <c r="J64" s="74" t="s">
        <v>46</v>
      </c>
      <c r="K64" s="21"/>
      <c r="L64" s="76"/>
    </row>
    <row r="65" spans="1:12" ht="12.75">
      <c r="A65" s="24" t="s">
        <v>7</v>
      </c>
      <c r="B65" s="20"/>
      <c r="C65" s="46">
        <f>$F$17</f>
        <v>100000</v>
      </c>
      <c r="D65" s="17"/>
      <c r="E65" s="17"/>
      <c r="F65" s="17"/>
      <c r="G65" s="17"/>
      <c r="H65" s="69">
        <f>C65*G$60/$F$26</f>
        <v>54.69646703818639</v>
      </c>
      <c r="I65" s="18">
        <f aca="true" t="shared" si="2" ref="I65:L67">(H65/G$60+D65*G$58/$F$26)*H$60</f>
        <v>29.834436566283486</v>
      </c>
      <c r="J65" s="18">
        <f t="shared" si="2"/>
        <v>21.638162784337467</v>
      </c>
      <c r="K65" s="18">
        <f t="shared" si="2"/>
        <v>17.60720846534763</v>
      </c>
      <c r="L65" s="26">
        <f t="shared" si="2"/>
        <v>15.241157016015814</v>
      </c>
    </row>
    <row r="66" spans="1:12" ht="12.75">
      <c r="A66" s="24" t="s">
        <v>47</v>
      </c>
      <c r="B66" s="20"/>
      <c r="C66" s="46">
        <f>G$47</f>
        <v>6000</v>
      </c>
      <c r="D66" s="17">
        <f>H$47</f>
        <v>4200</v>
      </c>
      <c r="E66" s="17">
        <f>I$47</f>
        <v>3000</v>
      </c>
      <c r="F66" s="17">
        <f>J$47</f>
        <v>2100</v>
      </c>
      <c r="G66" s="17">
        <f>K$47</f>
        <v>1500</v>
      </c>
      <c r="H66" s="69">
        <f>C66*G$60/$F$26</f>
        <v>3.2817880222911837</v>
      </c>
      <c r="I66" s="18">
        <f t="shared" si="2"/>
        <v>2.834271473796931</v>
      </c>
      <c r="J66" s="18">
        <f t="shared" si="2"/>
        <v>2.50642052251909</v>
      </c>
      <c r="K66" s="18">
        <f t="shared" si="2"/>
        <v>2.253478139002478</v>
      </c>
      <c r="L66" s="26">
        <f t="shared" si="2"/>
        <v>2.060907840487416</v>
      </c>
    </row>
    <row r="67" spans="1:12" ht="12.75">
      <c r="A67" s="24" t="s">
        <v>48</v>
      </c>
      <c r="B67" s="20"/>
      <c r="C67" s="68">
        <f>G$50</f>
        <v>7800.000000000001</v>
      </c>
      <c r="D67" s="13">
        <f>H$50</f>
        <v>7800.000000000001</v>
      </c>
      <c r="E67" s="13">
        <f>I$50</f>
        <v>7800.000000000001</v>
      </c>
      <c r="F67" s="13">
        <f>J$50</f>
        <v>7800.000000000001</v>
      </c>
      <c r="G67" s="13">
        <f>K$50</f>
        <v>7800.000000000001</v>
      </c>
      <c r="H67" s="77">
        <f>C67*G$60/$F$26</f>
        <v>4.266324428978539</v>
      </c>
      <c r="I67" s="14">
        <f t="shared" si="2"/>
        <v>4.266324428978538</v>
      </c>
      <c r="J67" s="14">
        <f t="shared" si="2"/>
        <v>4.266324428978537</v>
      </c>
      <c r="K67" s="14">
        <f t="shared" si="2"/>
        <v>4.266324428978538</v>
      </c>
      <c r="L67" s="66">
        <f t="shared" si="2"/>
        <v>4.266324428978538</v>
      </c>
    </row>
    <row r="68" spans="1:12" ht="12.75">
      <c r="A68" s="24" t="s">
        <v>50</v>
      </c>
      <c r="B68" s="20"/>
      <c r="C68" s="46">
        <f aca="true" t="shared" si="3" ref="C68:L68">SUM(C65:C67)</f>
        <v>113800</v>
      </c>
      <c r="D68" s="17">
        <f t="shared" si="3"/>
        <v>12000</v>
      </c>
      <c r="E68" s="17">
        <f t="shared" si="3"/>
        <v>10800</v>
      </c>
      <c r="F68" s="17">
        <f t="shared" si="3"/>
        <v>9900</v>
      </c>
      <c r="G68" s="17">
        <f t="shared" si="3"/>
        <v>9300</v>
      </c>
      <c r="H68" s="69">
        <f t="shared" si="3"/>
        <v>62.244579489456115</v>
      </c>
      <c r="I68" s="18">
        <f t="shared" si="3"/>
        <v>36.93503246905895</v>
      </c>
      <c r="J68" s="18">
        <f t="shared" si="3"/>
        <v>28.410907735835096</v>
      </c>
      <c r="K68" s="18">
        <f t="shared" si="3"/>
        <v>24.127011033328646</v>
      </c>
      <c r="L68" s="26">
        <f t="shared" si="3"/>
        <v>21.568389285481768</v>
      </c>
    </row>
    <row r="69" spans="1:12" ht="12.75">
      <c r="A69" s="60" t="s">
        <v>94</v>
      </c>
      <c r="B69" s="58"/>
      <c r="C69" s="68">
        <f>B69+C68*F$58</f>
        <v>113800</v>
      </c>
      <c r="D69" s="13">
        <f>C69+D68*G$58</f>
        <v>123800</v>
      </c>
      <c r="E69" s="13">
        <f>D69+E68*H$58</f>
        <v>131300</v>
      </c>
      <c r="F69" s="13">
        <f>E69+F68*I$58</f>
        <v>137029.16666666666</v>
      </c>
      <c r="G69" s="13">
        <f>F69+G68*J$58</f>
        <v>141514.12037037036</v>
      </c>
      <c r="H69" s="77"/>
      <c r="I69" s="14"/>
      <c r="J69" s="14"/>
      <c r="K69" s="14"/>
      <c r="L69" s="66"/>
    </row>
    <row r="70" spans="1:12" ht="12.75">
      <c r="A70" s="24" t="s">
        <v>53</v>
      </c>
      <c r="B70" s="20"/>
      <c r="C70" s="35"/>
      <c r="D70" s="20"/>
      <c r="E70" s="20"/>
      <c r="F70" s="20"/>
      <c r="G70" s="20"/>
      <c r="H70" s="69"/>
      <c r="I70" s="18"/>
      <c r="J70" s="18"/>
      <c r="K70" s="18"/>
      <c r="L70" s="26"/>
    </row>
    <row r="71" spans="1:12" ht="12.75">
      <c r="A71" s="3" t="s">
        <v>108</v>
      </c>
      <c r="B71" s="17"/>
      <c r="C71" s="68">
        <f>-G$49</f>
        <v>-10500</v>
      </c>
      <c r="D71" s="13">
        <f>-H$49</f>
        <v>-7000</v>
      </c>
      <c r="E71" s="13">
        <f>-I$49</f>
        <v>-5250</v>
      </c>
      <c r="F71" s="13">
        <f>-J$49</f>
        <v>-3500</v>
      </c>
      <c r="G71" s="13">
        <f>-K$49</f>
        <v>-1750</v>
      </c>
      <c r="H71" s="77">
        <f>(B71+C71*G$58)*G$60/$F$26</f>
        <v>-4.78594086584131</v>
      </c>
      <c r="I71" s="14">
        <f>(H71/G$60+D71*H$58/$F$26)*H$60</f>
        <v>-4.060798310410808</v>
      </c>
      <c r="J71" s="14">
        <f>(I71/H$60+E71*I$58/$F$26)*I$60</f>
        <v>-3.6026038385728527</v>
      </c>
      <c r="K71" s="14">
        <f>(J71/I$60+F71*J$58/$F$26)*J$60</f>
        <v>-3.2286675090971175</v>
      </c>
      <c r="L71" s="66">
        <f>(K71/J$60+G71*K$58/$F$26)*K$60</f>
        <v>-2.9019890127893926</v>
      </c>
    </row>
    <row r="72" spans="1:12" ht="12.75">
      <c r="A72" s="24" t="s">
        <v>55</v>
      </c>
      <c r="B72" s="17"/>
      <c r="C72" s="46">
        <f aca="true" t="shared" si="4" ref="C72:L72">SUM(C71:C71)</f>
        <v>-10500</v>
      </c>
      <c r="D72" s="17">
        <f t="shared" si="4"/>
        <v>-7000</v>
      </c>
      <c r="E72" s="17">
        <f t="shared" si="4"/>
        <v>-5250</v>
      </c>
      <c r="F72" s="17">
        <f t="shared" si="4"/>
        <v>-3500</v>
      </c>
      <c r="G72" s="17">
        <f t="shared" si="4"/>
        <v>-1750</v>
      </c>
      <c r="H72" s="69">
        <f t="shared" si="4"/>
        <v>-4.78594086584131</v>
      </c>
      <c r="I72" s="18">
        <f t="shared" si="4"/>
        <v>-4.060798310410808</v>
      </c>
      <c r="J72" s="18">
        <f t="shared" si="4"/>
        <v>-3.6026038385728527</v>
      </c>
      <c r="K72" s="18">
        <f t="shared" si="4"/>
        <v>-3.2286675090971175</v>
      </c>
      <c r="L72" s="26">
        <f t="shared" si="4"/>
        <v>-2.9019890127893926</v>
      </c>
    </row>
    <row r="73" spans="1:12" ht="12.75">
      <c r="A73" s="60" t="s">
        <v>93</v>
      </c>
      <c r="B73" s="13"/>
      <c r="C73" s="68">
        <f>B73+C72*G$58</f>
        <v>-8750</v>
      </c>
      <c r="D73" s="13">
        <f>C73+D72*H$58</f>
        <v>-13611.111111111111</v>
      </c>
      <c r="E73" s="13">
        <f>D73+E72*I$58</f>
        <v>-16649.305555555555</v>
      </c>
      <c r="F73" s="13">
        <f>E73+F72*J$58</f>
        <v>-18337.19135802469</v>
      </c>
      <c r="G73" s="13">
        <f>F73+G72*K$58</f>
        <v>-19040.477109053496</v>
      </c>
      <c r="H73" s="77"/>
      <c r="I73" s="14"/>
      <c r="J73" s="14"/>
      <c r="K73" s="14"/>
      <c r="L73" s="66"/>
    </row>
    <row r="74" spans="1:12" ht="12.75">
      <c r="A74" s="24" t="s">
        <v>90</v>
      </c>
      <c r="B74" s="17"/>
      <c r="C74" s="46"/>
      <c r="D74" s="17"/>
      <c r="E74" s="17"/>
      <c r="F74" s="17"/>
      <c r="G74" s="17"/>
      <c r="H74" s="69"/>
      <c r="I74" s="18"/>
      <c r="J74" s="18"/>
      <c r="K74" s="18"/>
      <c r="L74" s="26"/>
    </row>
    <row r="75" spans="1:12" ht="12.75">
      <c r="A75" s="24" t="s">
        <v>58</v>
      </c>
      <c r="B75" s="17"/>
      <c r="C75" s="46">
        <f>G$51</f>
        <v>7800.000000000001</v>
      </c>
      <c r="D75" s="17">
        <f>H$51</f>
        <v>8320</v>
      </c>
      <c r="E75" s="17">
        <f>I$51</f>
        <v>8840</v>
      </c>
      <c r="F75" s="17">
        <f>J$51</f>
        <v>9620.000000000002</v>
      </c>
      <c r="G75" s="17">
        <f>K$51</f>
        <v>10400</v>
      </c>
      <c r="H75" s="69">
        <f>(+C75*G$59/$F$26)*G$60</f>
        <v>3.900000000000002</v>
      </c>
      <c r="I75" s="18">
        <f aca="true" t="shared" si="5" ref="I75:L79">(H75/G$60+D75*H$59/$F$26)*H$60</f>
        <v>4.018181818181819</v>
      </c>
      <c r="J75" s="18">
        <f t="shared" si="5"/>
        <v>4.128571428571429</v>
      </c>
      <c r="K75" s="18">
        <f t="shared" si="5"/>
        <v>4.255514157973176</v>
      </c>
      <c r="L75" s="26">
        <f t="shared" si="5"/>
        <v>4.382433885185982</v>
      </c>
    </row>
    <row r="76" spans="1:12" ht="12.75">
      <c r="A76" s="24" t="s">
        <v>59</v>
      </c>
      <c r="B76" s="17"/>
      <c r="C76" s="46">
        <f>G$52</f>
        <v>1000</v>
      </c>
      <c r="D76" s="17">
        <f>H$52</f>
        <v>1000</v>
      </c>
      <c r="E76" s="17">
        <f>I$52</f>
        <v>1000</v>
      </c>
      <c r="F76" s="17">
        <f>J$52</f>
        <v>1000</v>
      </c>
      <c r="G76" s="17">
        <f>K$52</f>
        <v>1000</v>
      </c>
      <c r="H76" s="69">
        <f>(+C76*G$59/$F$26)*G$60</f>
        <v>0.5000000000000002</v>
      </c>
      <c r="I76" s="18">
        <f t="shared" si="5"/>
        <v>0.5000000000000001</v>
      </c>
      <c r="J76" s="18">
        <f t="shared" si="5"/>
        <v>0.5</v>
      </c>
      <c r="K76" s="18">
        <f t="shared" si="5"/>
        <v>0.5000000000000001</v>
      </c>
      <c r="L76" s="26">
        <f t="shared" si="5"/>
        <v>0.5</v>
      </c>
    </row>
    <row r="77" spans="1:12" ht="12.75">
      <c r="A77" s="24" t="s">
        <v>60</v>
      </c>
      <c r="B77" s="17"/>
      <c r="C77" s="46">
        <f>G$53</f>
        <v>6000</v>
      </c>
      <c r="D77" s="17">
        <f>H$53</f>
        <v>8000</v>
      </c>
      <c r="E77" s="17">
        <f>I$53</f>
        <v>10000</v>
      </c>
      <c r="F77" s="17">
        <f>J$53</f>
        <v>12400</v>
      </c>
      <c r="G77" s="17">
        <f>K$53</f>
        <v>15000</v>
      </c>
      <c r="H77" s="69">
        <f>(+C77*G$59/$F$26)*G$60</f>
        <v>3.0000000000000013</v>
      </c>
      <c r="I77" s="18">
        <f t="shared" si="5"/>
        <v>3.4545454545454555</v>
      </c>
      <c r="J77" s="18">
        <f t="shared" si="5"/>
        <v>3.879120879120879</v>
      </c>
      <c r="K77" s="18">
        <f t="shared" si="5"/>
        <v>4.311475409836066</v>
      </c>
      <c r="L77" s="26">
        <f t="shared" si="5"/>
        <v>4.739948398193937</v>
      </c>
    </row>
    <row r="78" spans="1:12" ht="12.75">
      <c r="A78" s="24" t="s">
        <v>26</v>
      </c>
      <c r="B78" s="20"/>
      <c r="C78" s="46">
        <f>G$54</f>
        <v>1600</v>
      </c>
      <c r="D78" s="17">
        <f>H$54</f>
        <v>1600</v>
      </c>
      <c r="E78" s="17">
        <f>I$54</f>
        <v>2400</v>
      </c>
      <c r="F78" s="17">
        <f>J$54</f>
        <v>4000</v>
      </c>
      <c r="G78" s="17">
        <f>K$54</f>
        <v>6400</v>
      </c>
      <c r="H78" s="69">
        <f>(+C78*G$59/$F$26)*G$60</f>
        <v>0.8000000000000004</v>
      </c>
      <c r="I78" s="18">
        <f t="shared" si="5"/>
        <v>0.8000000000000003</v>
      </c>
      <c r="J78" s="18">
        <f t="shared" si="5"/>
        <v>0.9098901098901099</v>
      </c>
      <c r="K78" s="18">
        <f t="shared" si="5"/>
        <v>1.1129657228017886</v>
      </c>
      <c r="L78" s="26">
        <f t="shared" si="5"/>
        <v>1.3934207697269405</v>
      </c>
    </row>
    <row r="79" spans="1:12" ht="12.75">
      <c r="A79" s="24" t="s">
        <v>61</v>
      </c>
      <c r="B79" s="20"/>
      <c r="C79" s="68">
        <f>G$56</f>
        <v>0</v>
      </c>
      <c r="D79" s="13">
        <f>H$56</f>
        <v>2067.2000000000016</v>
      </c>
      <c r="E79" s="13">
        <f>I$56</f>
        <v>23608.49600000001</v>
      </c>
      <c r="F79" s="13">
        <f>J$56</f>
        <v>31105.93600000001</v>
      </c>
      <c r="G79" s="13">
        <f>K$56</f>
        <v>41472.80000000004</v>
      </c>
      <c r="H79" s="77">
        <f>(+C79*G$59/$F$26)*G$60</f>
        <v>0</v>
      </c>
      <c r="I79" s="14">
        <f t="shared" si="5"/>
        <v>0.46981818181818236</v>
      </c>
      <c r="J79" s="14">
        <f t="shared" si="5"/>
        <v>3.583672527472529</v>
      </c>
      <c r="K79" s="14">
        <f t="shared" si="5"/>
        <v>5.813422056631895</v>
      </c>
      <c r="L79" s="66">
        <f t="shared" si="5"/>
        <v>7.818767404859175</v>
      </c>
    </row>
    <row r="80" spans="1:12" ht="12.75">
      <c r="A80" s="24" t="s">
        <v>99</v>
      </c>
      <c r="B80" s="17"/>
      <c r="C80" s="46">
        <f aca="true" t="shared" si="6" ref="C80:L80">SUM(C75:C79)</f>
        <v>16400</v>
      </c>
      <c r="D80" s="17">
        <f t="shared" si="6"/>
        <v>20987.2</v>
      </c>
      <c r="E80" s="17">
        <f t="shared" si="6"/>
        <v>45848.496000000014</v>
      </c>
      <c r="F80" s="17">
        <f t="shared" si="6"/>
        <v>58125.93600000001</v>
      </c>
      <c r="G80" s="17">
        <f t="shared" si="6"/>
        <v>74272.80000000005</v>
      </c>
      <c r="H80" s="69">
        <f t="shared" si="6"/>
        <v>8.200000000000005</v>
      </c>
      <c r="I80" s="18">
        <f t="shared" si="6"/>
        <v>9.242545454545457</v>
      </c>
      <c r="J80" s="18">
        <f t="shared" si="6"/>
        <v>13.001254945054947</v>
      </c>
      <c r="K80" s="18">
        <f t="shared" si="6"/>
        <v>15.993377347242925</v>
      </c>
      <c r="L80" s="26">
        <f t="shared" si="6"/>
        <v>18.834570457966038</v>
      </c>
    </row>
    <row r="81" spans="1:12" ht="12.75">
      <c r="A81" s="24" t="s">
        <v>97</v>
      </c>
      <c r="B81" s="17"/>
      <c r="C81" s="46">
        <f>B81+C80*G$59</f>
        <v>14991.827523842016</v>
      </c>
      <c r="D81" s="17">
        <f>C81+D80*H$59</f>
        <v>30979.453672641666</v>
      </c>
      <c r="E81" s="17">
        <f>D81+E80*I$59</f>
        <v>60084.83749122063</v>
      </c>
      <c r="F81" s="17">
        <f>E81+F80*J$59</f>
        <v>90834.25904066025</v>
      </c>
      <c r="G81" s="17">
        <f>F81+G80*K$59</f>
        <v>123577.03839789964</v>
      </c>
      <c r="H81" s="69"/>
      <c r="I81" s="18"/>
      <c r="J81" s="18"/>
      <c r="K81" s="18"/>
      <c r="L81" s="26"/>
    </row>
    <row r="82" spans="1:12" ht="12.75">
      <c r="A82" s="24" t="s">
        <v>65</v>
      </c>
      <c r="B82" s="17"/>
      <c r="C82" s="46"/>
      <c r="D82" s="17"/>
      <c r="E82" s="17"/>
      <c r="F82" s="17"/>
      <c r="G82" s="20"/>
      <c r="H82" s="69"/>
      <c r="I82" s="18"/>
      <c r="J82" s="18"/>
      <c r="K82" s="18"/>
      <c r="L82" s="26"/>
    </row>
    <row r="83" spans="1:12" ht="12.75">
      <c r="A83" s="24" t="s">
        <v>66</v>
      </c>
      <c r="B83" s="17"/>
      <c r="C83" s="46">
        <f>-G$43</f>
        <v>-70000</v>
      </c>
      <c r="D83" s="17">
        <f>-H$43</f>
        <v>-50000</v>
      </c>
      <c r="E83" s="17">
        <f>-I$43</f>
        <v>-35000</v>
      </c>
      <c r="F83" s="17">
        <f>-J$43</f>
        <v>-25000</v>
      </c>
      <c r="G83" s="17">
        <f>-K$43</f>
        <v>-20000</v>
      </c>
      <c r="H83" s="69">
        <f aca="true" t="shared" si="7" ref="H83:L84">C83*G$58*G$60/$F$26</f>
        <v>-31.90627243894206</v>
      </c>
      <c r="I83" s="18">
        <f t="shared" si="7"/>
        <v>-10.359179363292874</v>
      </c>
      <c r="J83" s="18">
        <f t="shared" si="7"/>
        <v>-4.382729730623909</v>
      </c>
      <c r="K83" s="18">
        <f t="shared" si="7"/>
        <v>-2.122782656412475</v>
      </c>
      <c r="L83" s="26">
        <f t="shared" si="7"/>
        <v>-1.2250158352636167</v>
      </c>
    </row>
    <row r="84" spans="1:12" ht="12.75">
      <c r="A84" s="24" t="s">
        <v>67</v>
      </c>
      <c r="B84" s="20"/>
      <c r="C84" s="68">
        <f>G$57</f>
        <v>0</v>
      </c>
      <c r="D84" s="13">
        <f>H$57</f>
        <v>0</v>
      </c>
      <c r="E84" s="13">
        <f>I$57</f>
        <v>5000.000000000005</v>
      </c>
      <c r="F84" s="13">
        <f>J$57</f>
        <v>5000.000000000005</v>
      </c>
      <c r="G84" s="13">
        <f>K$57</f>
        <v>5000.000000000005</v>
      </c>
      <c r="H84" s="77">
        <f t="shared" si="7"/>
        <v>0</v>
      </c>
      <c r="I84" s="14">
        <f t="shared" si="7"/>
        <v>0</v>
      </c>
      <c r="J84" s="14">
        <f t="shared" si="7"/>
        <v>0.6261042472319875</v>
      </c>
      <c r="K84" s="14">
        <f t="shared" si="7"/>
        <v>0.4245565312824953</v>
      </c>
      <c r="L84" s="66">
        <f t="shared" si="7"/>
        <v>0.30625395881590445</v>
      </c>
    </row>
    <row r="85" spans="1:12" ht="13.5" thickBot="1">
      <c r="A85" s="70" t="s">
        <v>95</v>
      </c>
      <c r="B85" s="71"/>
      <c r="C85" s="72">
        <f>(C83+C84)/((1+$F$18)^G$30)</f>
        <v>-58333.333333333336</v>
      </c>
      <c r="D85" s="15">
        <f>(D83+D84)/((1+$F$18)^H$30)</f>
        <v>-34722.222222222226</v>
      </c>
      <c r="E85" s="15">
        <f>(E83+E84)/((1+$F$18)^I$30)</f>
        <v>-17361.11111111111</v>
      </c>
      <c r="F85" s="15">
        <f>(F83+F84)/((1+$F$18)^J$30)</f>
        <v>-9645.06172839506</v>
      </c>
      <c r="G85" s="15">
        <f>(G83+G84)/((1+$F$18)^K$30)</f>
        <v>-6028.163580246913</v>
      </c>
      <c r="H85" s="78">
        <f>SUM(H83:H84)</f>
        <v>-31.90627243894206</v>
      </c>
      <c r="I85" s="16">
        <f>SUM(I83:I84)</f>
        <v>-10.359179363292874</v>
      </c>
      <c r="J85" s="16">
        <f>SUM(J83:J84)</f>
        <v>-3.7566254833919217</v>
      </c>
      <c r="K85" s="16">
        <f>SUM(K83:K84)</f>
        <v>-1.6982261251299797</v>
      </c>
      <c r="L85" s="73">
        <f>SUM(L83:L84)</f>
        <v>-0.9187618764477122</v>
      </c>
    </row>
    <row r="86" spans="1:12" ht="13.5" thickTop="1">
      <c r="A86" s="24" t="s">
        <v>69</v>
      </c>
      <c r="B86" s="20"/>
      <c r="C86" s="46">
        <f>C69+C73+C81+C85</f>
        <v>61708.49419050868</v>
      </c>
      <c r="D86" s="17">
        <f>D69+D73+D81+D85</f>
        <v>106446.12033930834</v>
      </c>
      <c r="E86" s="17">
        <f>E69+E73+E81+E85</f>
        <v>157374.42082455393</v>
      </c>
      <c r="F86" s="17">
        <f>F69+F73+F81+F85</f>
        <v>199881.17262090716</v>
      </c>
      <c r="G86" s="17">
        <f>G69+G73+G81+G85</f>
        <v>240022.51807896962</v>
      </c>
      <c r="H86" s="69"/>
      <c r="I86" s="18"/>
      <c r="J86" s="18"/>
      <c r="K86" s="18"/>
      <c r="L86" s="26"/>
    </row>
    <row r="87" spans="1:12" ht="12.75">
      <c r="A87" s="24" t="s">
        <v>106</v>
      </c>
      <c r="B87" s="20"/>
      <c r="C87" s="69">
        <f>C86*((1+$F$18)^C$63)*(LN(1+$F$18)/(((1+$F$18)^C$63)-1))/$F$26</f>
        <v>33.75236618467274</v>
      </c>
      <c r="D87" s="18">
        <f>D86*((1+$F$18)^D$63)*(LN(1+$F$18)/(((1+$F$18)^D$63)-1))/$F$26</f>
        <v>31.757600249900722</v>
      </c>
      <c r="E87" s="18">
        <f>E86*((1+$F$18)^E$63)*(LN(1+$F$18)/(((1+$F$18)^E$63)-1))/$F$26</f>
        <v>34.052933358925266</v>
      </c>
      <c r="F87" s="18">
        <f>F86*((1+$F$18)^F$63)*(LN(1+$F$18)/(((1+$F$18)^F$63)-1))/$F$26</f>
        <v>35.19349474634447</v>
      </c>
      <c r="G87" s="18">
        <f>G86*((1+$F$18)^G$63)*(LN(1+$F$18)/(((1+$F$18)^G$63)-1))/$F$26</f>
        <v>36.5822088542107</v>
      </c>
      <c r="H87" s="69">
        <f>H68+H72+H80+H85</f>
        <v>33.752366184672745</v>
      </c>
      <c r="I87" s="18">
        <f>I68+I72+I80+I85</f>
        <v>31.757600249900726</v>
      </c>
      <c r="J87" s="18">
        <f>J68+J72+J80+J85</f>
        <v>34.052933358925266</v>
      </c>
      <c r="K87" s="18">
        <f>K68+K72+K80+K85</f>
        <v>35.19349474634448</v>
      </c>
      <c r="L87" s="26">
        <f>L68+L72+L80+L85</f>
        <v>36.5822088542107</v>
      </c>
    </row>
    <row r="88" spans="1:12" ht="13.5" thickBot="1">
      <c r="A88" s="27" t="s">
        <v>91</v>
      </c>
      <c r="B88" s="67"/>
      <c r="C88" s="96">
        <v>1</v>
      </c>
      <c r="D88" s="97">
        <v>2</v>
      </c>
      <c r="E88" s="97">
        <v>3</v>
      </c>
      <c r="F88" s="97">
        <v>4</v>
      </c>
      <c r="G88" s="97">
        <v>5</v>
      </c>
      <c r="H88" s="98">
        <v>1</v>
      </c>
      <c r="I88" s="99">
        <v>2</v>
      </c>
      <c r="J88" s="99">
        <v>3</v>
      </c>
      <c r="K88" s="99">
        <v>4</v>
      </c>
      <c r="L88" s="100">
        <v>5</v>
      </c>
    </row>
    <row r="89" ht="12.75">
      <c r="C89" s="3" t="s">
        <v>116</v>
      </c>
    </row>
    <row r="90" spans="1:3" ht="12.75">
      <c r="A90" t="s">
        <v>98</v>
      </c>
      <c r="C90" s="3" t="s">
        <v>117</v>
      </c>
    </row>
    <row r="91" spans="1:3" ht="12.75">
      <c r="A91" s="80"/>
      <c r="C91" s="3" t="s">
        <v>118</v>
      </c>
    </row>
    <row r="92" ht="12.75">
      <c r="C92" s="3" t="s">
        <v>119</v>
      </c>
    </row>
    <row r="93" spans="2:8" ht="12.75">
      <c r="B93" s="3"/>
      <c r="D93" s="3"/>
      <c r="E93" s="3"/>
      <c r="F93" s="3"/>
      <c r="H93" s="3"/>
    </row>
    <row r="94" spans="2:8" ht="12.75">
      <c r="B94" s="3"/>
      <c r="E94" s="3"/>
      <c r="H94" s="3"/>
    </row>
    <row r="95" spans="5:8" ht="12.75">
      <c r="E95" s="3"/>
      <c r="H95" s="3"/>
    </row>
    <row r="96" ht="13.5" thickBot="1"/>
    <row r="97" spans="1:12" ht="13.5" thickBot="1">
      <c r="A97" s="89" t="s">
        <v>96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1"/>
    </row>
    <row r="98" spans="1:12" ht="12.75">
      <c r="A98" s="29"/>
      <c r="B98" s="30"/>
      <c r="C98" s="52"/>
      <c r="D98" s="30"/>
      <c r="E98" s="30" t="s">
        <v>19</v>
      </c>
      <c r="F98" s="30"/>
      <c r="G98" s="30"/>
      <c r="H98" s="52"/>
      <c r="I98" s="30"/>
      <c r="J98" s="30" t="s">
        <v>43</v>
      </c>
      <c r="K98" s="30"/>
      <c r="L98" s="37"/>
    </row>
    <row r="99" spans="1:12" ht="12.75">
      <c r="A99" s="35"/>
      <c r="B99" s="48"/>
      <c r="C99" s="85">
        <v>1</v>
      </c>
      <c r="D99" s="86">
        <v>2</v>
      </c>
      <c r="E99" s="86">
        <v>3</v>
      </c>
      <c r="F99" s="86">
        <v>4</v>
      </c>
      <c r="G99" s="86">
        <v>5</v>
      </c>
      <c r="H99" s="85">
        <v>1</v>
      </c>
      <c r="I99" s="86">
        <v>2</v>
      </c>
      <c r="J99" s="86">
        <v>3</v>
      </c>
      <c r="K99" s="86">
        <v>4</v>
      </c>
      <c r="L99" s="87">
        <v>5</v>
      </c>
    </row>
    <row r="100" spans="1:12" ht="12.75">
      <c r="A100" s="24" t="s">
        <v>44</v>
      </c>
      <c r="B100" s="20"/>
      <c r="C100" s="57"/>
      <c r="D100" s="58"/>
      <c r="E100" s="86" t="s">
        <v>45</v>
      </c>
      <c r="F100" s="58"/>
      <c r="G100" s="58"/>
      <c r="H100" s="77"/>
      <c r="I100" s="58"/>
      <c r="J100" s="86" t="s">
        <v>46</v>
      </c>
      <c r="K100" s="58"/>
      <c r="L100" s="56"/>
    </row>
    <row r="101" spans="1:12" ht="12.75">
      <c r="A101" s="24" t="s">
        <v>7</v>
      </c>
      <c r="B101" s="20"/>
      <c r="C101" s="46">
        <f>$F$17</f>
        <v>100000</v>
      </c>
      <c r="D101" s="17"/>
      <c r="E101" s="17"/>
      <c r="F101" s="17"/>
      <c r="G101" s="17"/>
      <c r="H101" s="69">
        <f>C101*G$60/$F$26</f>
        <v>54.69646703818639</v>
      </c>
      <c r="I101" s="18">
        <f aca="true" t="shared" si="8" ref="I101:L103">(H101/G$60+D101*G$58/$F$26)*H$60</f>
        <v>29.834436566283486</v>
      </c>
      <c r="J101" s="18">
        <f t="shared" si="8"/>
        <v>21.638162784337467</v>
      </c>
      <c r="K101" s="18">
        <f t="shared" si="8"/>
        <v>17.60720846534763</v>
      </c>
      <c r="L101" s="26">
        <f t="shared" si="8"/>
        <v>15.241157016015814</v>
      </c>
    </row>
    <row r="102" spans="1:12" ht="12.75">
      <c r="A102" s="24" t="s">
        <v>47</v>
      </c>
      <c r="B102" s="20"/>
      <c r="C102" s="46">
        <f>G$47</f>
        <v>6000</v>
      </c>
      <c r="D102" s="17">
        <f>H$47</f>
        <v>4200</v>
      </c>
      <c r="E102" s="17">
        <f>I$47</f>
        <v>3000</v>
      </c>
      <c r="F102" s="17">
        <f>J$47</f>
        <v>2100</v>
      </c>
      <c r="G102" s="17">
        <f>K$47</f>
        <v>1500</v>
      </c>
      <c r="H102" s="69">
        <f>C102*G$60/$F$26</f>
        <v>3.2817880222911837</v>
      </c>
      <c r="I102" s="18">
        <f t="shared" si="8"/>
        <v>2.834271473796931</v>
      </c>
      <c r="J102" s="18">
        <f t="shared" si="8"/>
        <v>2.50642052251909</v>
      </c>
      <c r="K102" s="18">
        <f t="shared" si="8"/>
        <v>2.253478139002478</v>
      </c>
      <c r="L102" s="26">
        <f t="shared" si="8"/>
        <v>2.060907840487416</v>
      </c>
    </row>
    <row r="103" spans="1:12" ht="12.75">
      <c r="A103" s="24" t="s">
        <v>48</v>
      </c>
      <c r="B103" s="20"/>
      <c r="C103" s="68">
        <f>G$50</f>
        <v>7800.000000000001</v>
      </c>
      <c r="D103" s="13">
        <f>H$50</f>
        <v>7800.000000000001</v>
      </c>
      <c r="E103" s="13">
        <f>I$50</f>
        <v>7800.000000000001</v>
      </c>
      <c r="F103" s="13">
        <f>J$50</f>
        <v>7800.000000000001</v>
      </c>
      <c r="G103" s="13">
        <f>K$50</f>
        <v>7800.000000000001</v>
      </c>
      <c r="H103" s="77">
        <f>C103*G$60/$F$26</f>
        <v>4.266324428978539</v>
      </c>
      <c r="I103" s="14">
        <f t="shared" si="8"/>
        <v>4.266324428978538</v>
      </c>
      <c r="J103" s="14">
        <f t="shared" si="8"/>
        <v>4.266324428978537</v>
      </c>
      <c r="K103" s="14">
        <f t="shared" si="8"/>
        <v>4.266324428978538</v>
      </c>
      <c r="L103" s="66">
        <f t="shared" si="8"/>
        <v>4.266324428978538</v>
      </c>
    </row>
    <row r="104" spans="1:12" ht="12.75">
      <c r="A104" s="24" t="s">
        <v>50</v>
      </c>
      <c r="B104" s="20"/>
      <c r="C104" s="46">
        <f aca="true" t="shared" si="9" ref="C104:L104">SUM(C101:C103)</f>
        <v>113800</v>
      </c>
      <c r="D104" s="17">
        <f t="shared" si="9"/>
        <v>12000</v>
      </c>
      <c r="E104" s="17">
        <f t="shared" si="9"/>
        <v>10800</v>
      </c>
      <c r="F104" s="17">
        <f t="shared" si="9"/>
        <v>9900</v>
      </c>
      <c r="G104" s="17">
        <f t="shared" si="9"/>
        <v>9300</v>
      </c>
      <c r="H104" s="69">
        <f t="shared" si="9"/>
        <v>62.244579489456115</v>
      </c>
      <c r="I104" s="18">
        <f t="shared" si="9"/>
        <v>36.93503246905895</v>
      </c>
      <c r="J104" s="18">
        <f t="shared" si="9"/>
        <v>28.410907735835096</v>
      </c>
      <c r="K104" s="18">
        <f t="shared" si="9"/>
        <v>24.127011033328646</v>
      </c>
      <c r="L104" s="26">
        <f t="shared" si="9"/>
        <v>21.568389285481768</v>
      </c>
    </row>
    <row r="105" spans="1:12" ht="12.75">
      <c r="A105" s="60" t="s">
        <v>94</v>
      </c>
      <c r="B105" s="58"/>
      <c r="C105" s="68">
        <f>B105+C104*F$58</f>
        <v>113800</v>
      </c>
      <c r="D105" s="13">
        <f>C105+D104*G$58</f>
        <v>123800</v>
      </c>
      <c r="E105" s="13">
        <f>D105+E104*H$58</f>
        <v>131300</v>
      </c>
      <c r="F105" s="13">
        <f>E105+F104*I$58</f>
        <v>137029.16666666666</v>
      </c>
      <c r="G105" s="13">
        <f>F105+G104*J$58</f>
        <v>141514.12037037036</v>
      </c>
      <c r="H105" s="77"/>
      <c r="I105" s="14"/>
      <c r="J105" s="14"/>
      <c r="K105" s="14"/>
      <c r="L105" s="66"/>
    </row>
    <row r="106" spans="1:12" ht="12.75">
      <c r="A106" s="24" t="s">
        <v>53</v>
      </c>
      <c r="B106" s="20"/>
      <c r="C106" s="35"/>
      <c r="D106" s="20"/>
      <c r="E106" s="20"/>
      <c r="F106" s="20"/>
      <c r="G106" s="20"/>
      <c r="H106" s="69"/>
      <c r="I106" s="18"/>
      <c r="J106" s="18"/>
      <c r="K106" s="18"/>
      <c r="L106" s="26"/>
    </row>
    <row r="107" spans="1:12" ht="12.75">
      <c r="A107" s="3" t="s">
        <v>108</v>
      </c>
      <c r="B107" s="17"/>
      <c r="C107" s="68"/>
      <c r="D107" s="13"/>
      <c r="E107" s="13"/>
      <c r="F107" s="13"/>
      <c r="G107" s="13"/>
      <c r="H107" s="77">
        <f>(B107+C107*G$58)*G$60/$F$26</f>
        <v>0</v>
      </c>
      <c r="I107" s="14">
        <f>(H107/G$60+D107*H$58/$F$26)*H$60</f>
        <v>0</v>
      </c>
      <c r="J107" s="14">
        <f>(I107/H$60+E107*I$58/$F$26)*I$60</f>
        <v>0</v>
      </c>
      <c r="K107" s="14">
        <f>(J107/I$60+F107*J$58/$F$26)*J$60</f>
        <v>0</v>
      </c>
      <c r="L107" s="66">
        <f>(K107/J$60+G107*K$58/$F$26)*K$60</f>
        <v>0</v>
      </c>
    </row>
    <row r="108" spans="1:12" ht="12.75">
      <c r="A108" s="24" t="s">
        <v>55</v>
      </c>
      <c r="B108" s="17"/>
      <c r="C108" s="46">
        <f aca="true" t="shared" si="10" ref="C108:L108">SUM(C107:C107)</f>
        <v>0</v>
      </c>
      <c r="D108" s="17">
        <f t="shared" si="10"/>
        <v>0</v>
      </c>
      <c r="E108" s="17">
        <f t="shared" si="10"/>
        <v>0</v>
      </c>
      <c r="F108" s="17">
        <f t="shared" si="10"/>
        <v>0</v>
      </c>
      <c r="G108" s="17">
        <f t="shared" si="10"/>
        <v>0</v>
      </c>
      <c r="H108" s="69">
        <f t="shared" si="10"/>
        <v>0</v>
      </c>
      <c r="I108" s="18">
        <f t="shared" si="10"/>
        <v>0</v>
      </c>
      <c r="J108" s="18">
        <f t="shared" si="10"/>
        <v>0</v>
      </c>
      <c r="K108" s="18">
        <f t="shared" si="10"/>
        <v>0</v>
      </c>
      <c r="L108" s="26">
        <f t="shared" si="10"/>
        <v>0</v>
      </c>
    </row>
    <row r="109" spans="1:12" ht="12.75">
      <c r="A109" s="60" t="s">
        <v>93</v>
      </c>
      <c r="B109" s="13"/>
      <c r="C109" s="68">
        <f>B109+C108*G$58</f>
        <v>0</v>
      </c>
      <c r="D109" s="13">
        <f>C109+D108*H$58</f>
        <v>0</v>
      </c>
      <c r="E109" s="13">
        <f>D109+E108*I$58</f>
        <v>0</v>
      </c>
      <c r="F109" s="13">
        <f>E109+F108*J$58</f>
        <v>0</v>
      </c>
      <c r="G109" s="13">
        <f>F109+G108*K$58</f>
        <v>0</v>
      </c>
      <c r="H109" s="77"/>
      <c r="I109" s="14"/>
      <c r="J109" s="14"/>
      <c r="K109" s="14"/>
      <c r="L109" s="66"/>
    </row>
    <row r="110" spans="1:12" ht="12.75">
      <c r="A110" s="24" t="s">
        <v>92</v>
      </c>
      <c r="B110" s="17"/>
      <c r="C110" s="46"/>
      <c r="D110" s="17"/>
      <c r="E110" s="17"/>
      <c r="F110" s="17"/>
      <c r="G110" s="17"/>
      <c r="H110" s="69"/>
      <c r="I110" s="18"/>
      <c r="J110" s="18"/>
      <c r="K110" s="18"/>
      <c r="L110" s="26"/>
    </row>
    <row r="111" spans="1:12" ht="12.75">
      <c r="A111" s="24" t="s">
        <v>58</v>
      </c>
      <c r="B111" s="17"/>
      <c r="C111" s="46">
        <f>G$51</f>
        <v>7800.000000000001</v>
      </c>
      <c r="D111" s="17">
        <f>H$51</f>
        <v>8320</v>
      </c>
      <c r="E111" s="17">
        <f>I$51</f>
        <v>8840</v>
      </c>
      <c r="F111" s="17">
        <f>J$51</f>
        <v>9620.000000000002</v>
      </c>
      <c r="G111" s="17">
        <f>K$51</f>
        <v>10400</v>
      </c>
      <c r="H111" s="69">
        <f>(+C111*G$59/$F$26)*G$60</f>
        <v>3.900000000000002</v>
      </c>
      <c r="I111" s="18">
        <f aca="true" t="shared" si="11" ref="I111:L115">(H111/G$60+D111*H$59/$F$26)*H$60</f>
        <v>4.018181818181819</v>
      </c>
      <c r="J111" s="18">
        <f t="shared" si="11"/>
        <v>4.128571428571429</v>
      </c>
      <c r="K111" s="18">
        <f t="shared" si="11"/>
        <v>4.255514157973176</v>
      </c>
      <c r="L111" s="26">
        <f t="shared" si="11"/>
        <v>4.382433885185982</v>
      </c>
    </row>
    <row r="112" spans="1:12" ht="12.75">
      <c r="A112" s="24" t="s">
        <v>59</v>
      </c>
      <c r="B112" s="17"/>
      <c r="C112" s="46">
        <f>G$52</f>
        <v>1000</v>
      </c>
      <c r="D112" s="17">
        <f>H$52</f>
        <v>1000</v>
      </c>
      <c r="E112" s="17">
        <f>I$52</f>
        <v>1000</v>
      </c>
      <c r="F112" s="17">
        <f>J$52</f>
        <v>1000</v>
      </c>
      <c r="G112" s="17">
        <f>K$52</f>
        <v>1000</v>
      </c>
      <c r="H112" s="69">
        <f>(+C112*G$59/$F$26)*G$60</f>
        <v>0.5000000000000002</v>
      </c>
      <c r="I112" s="18">
        <f t="shared" si="11"/>
        <v>0.5000000000000001</v>
      </c>
      <c r="J112" s="18">
        <f t="shared" si="11"/>
        <v>0.5</v>
      </c>
      <c r="K112" s="18">
        <f t="shared" si="11"/>
        <v>0.5000000000000001</v>
      </c>
      <c r="L112" s="26">
        <f t="shared" si="11"/>
        <v>0.5</v>
      </c>
    </row>
    <row r="113" spans="1:12" ht="12.75">
      <c r="A113" s="24" t="s">
        <v>60</v>
      </c>
      <c r="B113" s="81"/>
      <c r="C113" s="46">
        <f>G$53</f>
        <v>6000</v>
      </c>
      <c r="D113" s="17">
        <f>H$53</f>
        <v>8000</v>
      </c>
      <c r="E113" s="17">
        <f>I$53</f>
        <v>10000</v>
      </c>
      <c r="F113" s="17">
        <f>J$53</f>
        <v>12400</v>
      </c>
      <c r="G113" s="17">
        <f>K$53</f>
        <v>15000</v>
      </c>
      <c r="H113" s="69">
        <f>(+C113*G$59/$F$26)*G$60</f>
        <v>3.0000000000000013</v>
      </c>
      <c r="I113" s="18">
        <f t="shared" si="11"/>
        <v>3.4545454545454555</v>
      </c>
      <c r="J113" s="18">
        <f t="shared" si="11"/>
        <v>3.879120879120879</v>
      </c>
      <c r="K113" s="18">
        <f t="shared" si="11"/>
        <v>4.311475409836066</v>
      </c>
      <c r="L113" s="26">
        <f t="shared" si="11"/>
        <v>4.739948398193937</v>
      </c>
    </row>
    <row r="114" spans="1:12" ht="12.75">
      <c r="A114" s="24" t="s">
        <v>26</v>
      </c>
      <c r="B114" s="20"/>
      <c r="C114" s="46">
        <f>G$54</f>
        <v>1600</v>
      </c>
      <c r="D114" s="17">
        <f>H$54</f>
        <v>1600</v>
      </c>
      <c r="E114" s="17">
        <f>I$54</f>
        <v>2400</v>
      </c>
      <c r="F114" s="17">
        <f>J$54</f>
        <v>4000</v>
      </c>
      <c r="G114" s="17">
        <f>K$54</f>
        <v>6400</v>
      </c>
      <c r="H114" s="69">
        <f>(+C114*G$59/$F$26)*G$60</f>
        <v>0.8000000000000004</v>
      </c>
      <c r="I114" s="18">
        <f t="shared" si="11"/>
        <v>0.8000000000000003</v>
      </c>
      <c r="J114" s="18">
        <f t="shared" si="11"/>
        <v>0.9098901098901099</v>
      </c>
      <c r="K114" s="18">
        <f t="shared" si="11"/>
        <v>1.1129657228017886</v>
      </c>
      <c r="L114" s="26">
        <f t="shared" si="11"/>
        <v>1.3934207697269405</v>
      </c>
    </row>
    <row r="115" spans="1:12" ht="12.75">
      <c r="A115" s="24" t="s">
        <v>61</v>
      </c>
      <c r="B115" s="20"/>
      <c r="C115" s="68"/>
      <c r="D115" s="13"/>
      <c r="E115" s="13"/>
      <c r="F115" s="13"/>
      <c r="G115" s="13"/>
      <c r="H115" s="77">
        <f>(+C115*G$59/$F$26)*G$60</f>
        <v>0</v>
      </c>
      <c r="I115" s="14">
        <f t="shared" si="11"/>
        <v>0</v>
      </c>
      <c r="J115" s="14">
        <f t="shared" si="11"/>
        <v>0</v>
      </c>
      <c r="K115" s="14">
        <f t="shared" si="11"/>
        <v>0</v>
      </c>
      <c r="L115" s="66">
        <f t="shared" si="11"/>
        <v>0</v>
      </c>
    </row>
    <row r="116" spans="1:12" ht="12.75">
      <c r="A116" s="24" t="s">
        <v>99</v>
      </c>
      <c r="B116" s="17"/>
      <c r="C116" s="46">
        <f aca="true" t="shared" si="12" ref="C116:L116">SUM(C111:C115)</f>
        <v>16400</v>
      </c>
      <c r="D116" s="17">
        <f t="shared" si="12"/>
        <v>18920</v>
      </c>
      <c r="E116" s="17">
        <f t="shared" si="12"/>
        <v>22240</v>
      </c>
      <c r="F116" s="17">
        <f t="shared" si="12"/>
        <v>27020</v>
      </c>
      <c r="G116" s="17">
        <f t="shared" si="12"/>
        <v>32800</v>
      </c>
      <c r="H116" s="69">
        <f t="shared" si="12"/>
        <v>8.200000000000005</v>
      </c>
      <c r="I116" s="18">
        <f t="shared" si="12"/>
        <v>8.772727272727275</v>
      </c>
      <c r="J116" s="18">
        <f t="shared" si="12"/>
        <v>9.417582417582418</v>
      </c>
      <c r="K116" s="18">
        <f t="shared" si="12"/>
        <v>10.17995529061103</v>
      </c>
      <c r="L116" s="26">
        <f t="shared" si="12"/>
        <v>11.015803053106861</v>
      </c>
    </row>
    <row r="117" spans="1:12" ht="12.75">
      <c r="A117" s="24" t="s">
        <v>97</v>
      </c>
      <c r="B117" s="82"/>
      <c r="C117" s="46">
        <f>B117+C116*G$59</f>
        <v>14991.827523842016</v>
      </c>
      <c r="D117" s="17">
        <f>C117+D116*H$59</f>
        <v>29404.702358755174</v>
      </c>
      <c r="E117" s="17">
        <f>D117+E116*I$59</f>
        <v>43523.02231684487</v>
      </c>
      <c r="F117" s="17">
        <f>E117+F116*J$59</f>
        <v>57816.97485235086</v>
      </c>
      <c r="G117" s="17">
        <f>F117+G116*K$59</f>
        <v>72276.6850412417</v>
      </c>
      <c r="H117" s="69"/>
      <c r="I117" s="18"/>
      <c r="J117" s="18"/>
      <c r="K117" s="18"/>
      <c r="L117" s="26"/>
    </row>
    <row r="118" spans="1:12" ht="12.75">
      <c r="A118" s="24" t="s">
        <v>65</v>
      </c>
      <c r="B118" s="17"/>
      <c r="C118" s="46"/>
      <c r="D118" s="17"/>
      <c r="E118" s="17"/>
      <c r="F118" s="17"/>
      <c r="G118" s="20"/>
      <c r="H118" s="69"/>
      <c r="I118" s="18"/>
      <c r="J118" s="18"/>
      <c r="K118" s="18"/>
      <c r="L118" s="26"/>
    </row>
    <row r="119" spans="1:12" ht="12.75">
      <c r="A119" s="24" t="s">
        <v>66</v>
      </c>
      <c r="B119" s="17"/>
      <c r="C119" s="46">
        <f>-G$43</f>
        <v>-70000</v>
      </c>
      <c r="D119" s="17">
        <f>-H$43</f>
        <v>-50000</v>
      </c>
      <c r="E119" s="17">
        <f>-I$43</f>
        <v>-35000</v>
      </c>
      <c r="F119" s="17">
        <f>-J$43</f>
        <v>-25000</v>
      </c>
      <c r="G119" s="17">
        <f>-K$43</f>
        <v>-20000</v>
      </c>
      <c r="H119" s="69">
        <f aca="true" t="shared" si="13" ref="H119:L120">C119*G$58*G$60/$F$26</f>
        <v>-31.90627243894206</v>
      </c>
      <c r="I119" s="18">
        <f t="shared" si="13"/>
        <v>-10.359179363292874</v>
      </c>
      <c r="J119" s="18">
        <f t="shared" si="13"/>
        <v>-4.382729730623909</v>
      </c>
      <c r="K119" s="18">
        <f t="shared" si="13"/>
        <v>-2.122782656412475</v>
      </c>
      <c r="L119" s="26">
        <f t="shared" si="13"/>
        <v>-1.2250158352636167</v>
      </c>
    </row>
    <row r="120" spans="1:12" ht="12.75">
      <c r="A120" s="24" t="s">
        <v>67</v>
      </c>
      <c r="B120" s="20"/>
      <c r="C120" s="68">
        <f>G$57</f>
        <v>0</v>
      </c>
      <c r="D120" s="13">
        <f>H$57</f>
        <v>0</v>
      </c>
      <c r="E120" s="13">
        <f>I$57</f>
        <v>5000.000000000005</v>
      </c>
      <c r="F120" s="13">
        <f>J$57</f>
        <v>5000.000000000005</v>
      </c>
      <c r="G120" s="13">
        <f>K$57</f>
        <v>5000.000000000005</v>
      </c>
      <c r="H120" s="77">
        <f t="shared" si="13"/>
        <v>0</v>
      </c>
      <c r="I120" s="14">
        <f t="shared" si="13"/>
        <v>0</v>
      </c>
      <c r="J120" s="14">
        <f t="shared" si="13"/>
        <v>0.6261042472319875</v>
      </c>
      <c r="K120" s="14">
        <f t="shared" si="13"/>
        <v>0.4245565312824953</v>
      </c>
      <c r="L120" s="66">
        <f t="shared" si="13"/>
        <v>0.30625395881590445</v>
      </c>
    </row>
    <row r="121" spans="1:12" ht="13.5" thickBot="1">
      <c r="A121" s="70" t="s">
        <v>95</v>
      </c>
      <c r="B121" s="71"/>
      <c r="C121" s="72">
        <f>(C119+C120)/((1+$F$18)^G$30)</f>
        <v>-58333.333333333336</v>
      </c>
      <c r="D121" s="15">
        <f>(D119+D120)/((1+$F$18)^H$30)</f>
        <v>-34722.222222222226</v>
      </c>
      <c r="E121" s="15">
        <f>(E119+E120)/((1+$F$18)^I$30)</f>
        <v>-17361.11111111111</v>
      </c>
      <c r="F121" s="15">
        <f>(F119+F120)/((1+$F$18)^J$30)</f>
        <v>-9645.06172839506</v>
      </c>
      <c r="G121" s="15">
        <f>(G119+G120)/((1+$F$18)^K$30)</f>
        <v>-6028.163580246913</v>
      </c>
      <c r="H121" s="78">
        <f>SUM(H119:H120)</f>
        <v>-31.90627243894206</v>
      </c>
      <c r="I121" s="16">
        <f>SUM(I119:I120)</f>
        <v>-10.359179363292874</v>
      </c>
      <c r="J121" s="16">
        <f>SUM(J119:J120)</f>
        <v>-3.7566254833919217</v>
      </c>
      <c r="K121" s="16">
        <f>SUM(K119:K120)</f>
        <v>-1.6982261251299797</v>
      </c>
      <c r="L121" s="73">
        <f>SUM(L119:L120)</f>
        <v>-0.9187618764477122</v>
      </c>
    </row>
    <row r="122" spans="1:12" ht="13.5" thickTop="1">
      <c r="A122" s="24" t="s">
        <v>69</v>
      </c>
      <c r="B122" s="20"/>
      <c r="C122" s="46">
        <f>C105+C109+C117+C121</f>
        <v>70458.49419050867</v>
      </c>
      <c r="D122" s="17">
        <f>D105+D109+D117+D121</f>
        <v>118482.48013653295</v>
      </c>
      <c r="E122" s="17">
        <f>E105+E109+E117+E121</f>
        <v>157461.91120573378</v>
      </c>
      <c r="F122" s="17">
        <f>F105+F109+F117+F121</f>
        <v>185201.07979062246</v>
      </c>
      <c r="G122" s="17">
        <f>G105+G109+G117+G121</f>
        <v>207762.64183136515</v>
      </c>
      <c r="H122" s="69"/>
      <c r="I122" s="18"/>
      <c r="J122" s="18"/>
      <c r="K122" s="18"/>
      <c r="L122" s="26"/>
    </row>
    <row r="123" spans="1:12" ht="12.75">
      <c r="A123" s="24" t="s">
        <v>106</v>
      </c>
      <c r="B123" s="20"/>
      <c r="C123" s="69">
        <f>C122*((1+$F$18)^C$63)*(LN(1+$F$18)/(((1+$F$18)^C$63)-1))/$F$26</f>
        <v>38.53830705051405</v>
      </c>
      <c r="D123" s="18">
        <f>D122*((1+$F$18)^D$63)*(LN(1+$F$18)/(((1+$F$18)^D$63)-1))/$F$26</f>
        <v>35.34858037849335</v>
      </c>
      <c r="E123" s="18">
        <f>E122*((1+$F$18)^E$63)*(LN(1+$F$18)/(((1+$F$18)^E$63)-1))/$F$26</f>
        <v>34.0718646700256</v>
      </c>
      <c r="F123" s="18">
        <f>F122*((1+$F$18)^F$63)*(LN(1+$F$18)/(((1+$F$18)^F$63)-1))/$F$26</f>
        <v>32.60874019880969</v>
      </c>
      <c r="G123" s="18">
        <f>G122*((1+$F$18)^G$63)*(LN(1+$F$18)/(((1+$F$18)^G$63)-1))/$F$26</f>
        <v>31.665430462140915</v>
      </c>
      <c r="H123" s="69">
        <f>H104+H108+H116+H121</f>
        <v>38.53830705051406</v>
      </c>
      <c r="I123" s="18">
        <f>I104+I108+I116+I121</f>
        <v>35.34858037849335</v>
      </c>
      <c r="J123" s="18">
        <f>J104+J108+J116+J121</f>
        <v>34.07186467002559</v>
      </c>
      <c r="K123" s="18">
        <f>K104+K108+K116+K121</f>
        <v>32.6087401988097</v>
      </c>
      <c r="L123" s="26">
        <f>L104+L108+L116+L121</f>
        <v>31.665430462140918</v>
      </c>
    </row>
    <row r="124" spans="1:12" ht="13.5" thickBot="1">
      <c r="A124" s="27" t="s">
        <v>91</v>
      </c>
      <c r="B124" s="67"/>
      <c r="C124" s="96">
        <v>1</v>
      </c>
      <c r="D124" s="97">
        <v>2</v>
      </c>
      <c r="E124" s="97">
        <v>3</v>
      </c>
      <c r="F124" s="97">
        <v>4</v>
      </c>
      <c r="G124" s="97">
        <v>5</v>
      </c>
      <c r="H124" s="98">
        <v>1</v>
      </c>
      <c r="I124" s="99">
        <v>2</v>
      </c>
      <c r="J124" s="99">
        <v>3</v>
      </c>
      <c r="K124" s="99">
        <v>4</v>
      </c>
      <c r="L124" s="100">
        <v>5</v>
      </c>
    </row>
    <row r="125" spans="1:12" ht="13.5" thickBot="1">
      <c r="A125" s="89" t="s">
        <v>77</v>
      </c>
      <c r="B125" s="50"/>
      <c r="C125" s="50"/>
      <c r="D125" s="50"/>
      <c r="E125" s="50"/>
      <c r="F125" s="50"/>
      <c r="G125" s="50"/>
      <c r="H125" s="92"/>
      <c r="I125" s="92"/>
      <c r="J125" s="92"/>
      <c r="K125" s="92"/>
      <c r="L125" s="93"/>
    </row>
    <row r="126" spans="3:12" ht="12.75">
      <c r="C126" s="52"/>
      <c r="D126" s="30"/>
      <c r="E126" s="53" t="s">
        <v>19</v>
      </c>
      <c r="F126" s="30"/>
      <c r="G126" s="37"/>
      <c r="H126" s="52"/>
      <c r="I126" s="30"/>
      <c r="J126" s="53" t="s">
        <v>43</v>
      </c>
      <c r="K126" s="30"/>
      <c r="L126" s="37"/>
    </row>
    <row r="127" spans="2:12" ht="12.75">
      <c r="B127" s="2"/>
      <c r="C127" s="85">
        <v>1</v>
      </c>
      <c r="D127" s="86">
        <v>2</v>
      </c>
      <c r="E127" s="86">
        <v>3</v>
      </c>
      <c r="F127" s="86">
        <v>4</v>
      </c>
      <c r="G127" s="87">
        <v>5</v>
      </c>
      <c r="H127" s="85">
        <v>1</v>
      </c>
      <c r="I127" s="86">
        <v>2</v>
      </c>
      <c r="J127" s="86">
        <v>3</v>
      </c>
      <c r="K127" s="86">
        <v>4</v>
      </c>
      <c r="L127" s="87">
        <v>5</v>
      </c>
    </row>
    <row r="128" spans="1:12" ht="12.75">
      <c r="A128" s="3" t="s">
        <v>79</v>
      </c>
      <c r="C128" s="57"/>
      <c r="D128" s="58"/>
      <c r="E128" s="86" t="s">
        <v>45</v>
      </c>
      <c r="F128" s="58"/>
      <c r="G128" s="56"/>
      <c r="H128" s="77"/>
      <c r="I128" s="58"/>
      <c r="J128" s="86" t="s">
        <v>46</v>
      </c>
      <c r="K128" s="58"/>
      <c r="L128" s="56"/>
    </row>
    <row r="129" spans="1:12" ht="12.75">
      <c r="A129" t="s">
        <v>78</v>
      </c>
      <c r="C129" s="46">
        <f>G45</f>
        <v>30000</v>
      </c>
      <c r="D129" s="17">
        <f>H45</f>
        <v>20000</v>
      </c>
      <c r="E129" s="17">
        <f>I45</f>
        <v>15000</v>
      </c>
      <c r="F129" s="17">
        <f>J45</f>
        <v>10000</v>
      </c>
      <c r="G129" s="25">
        <f>K45</f>
        <v>5000</v>
      </c>
      <c r="H129" s="69">
        <f aca="true" t="shared" si="14" ref="H129:H138">C129/$F$26</f>
        <v>15</v>
      </c>
      <c r="I129" s="18">
        <f aca="true" t="shared" si="15" ref="I129:I138">(H129*$F$26*H$127+D129)/(I$127*$F$26)</f>
        <v>12.5</v>
      </c>
      <c r="J129" s="18">
        <f aca="true" t="shared" si="16" ref="J129:J138">(I129*$F$26*I$127+E129)/(J$127*$F$26)</f>
        <v>10.833333333333334</v>
      </c>
      <c r="K129" s="18">
        <f aca="true" t="shared" si="17" ref="K129:K138">(J129*$F$26*J$127+F129)/(K$127*$F$26)</f>
        <v>9.375</v>
      </c>
      <c r="L129" s="26">
        <f aca="true" t="shared" si="18" ref="L129:L138">(K129*$F$26*K$127+G129)/(L$127*$F$26)</f>
        <v>8</v>
      </c>
    </row>
    <row r="130" spans="1:12" ht="12.75">
      <c r="A130" s="3" t="s">
        <v>121</v>
      </c>
      <c r="C130" s="46">
        <f>G48</f>
        <v>17000</v>
      </c>
      <c r="D130" s="17">
        <f>H48</f>
        <v>12000</v>
      </c>
      <c r="E130" s="17">
        <f>I48</f>
        <v>8500</v>
      </c>
      <c r="F130" s="17">
        <f>J48</f>
        <v>6000</v>
      </c>
      <c r="G130" s="25">
        <f>K48</f>
        <v>4500</v>
      </c>
      <c r="H130" s="69">
        <f t="shared" si="14"/>
        <v>8.5</v>
      </c>
      <c r="I130" s="18">
        <f t="shared" si="15"/>
        <v>7.25</v>
      </c>
      <c r="J130" s="18">
        <f t="shared" si="16"/>
        <v>6.25</v>
      </c>
      <c r="K130" s="18">
        <f t="shared" si="17"/>
        <v>5.4375</v>
      </c>
      <c r="L130" s="26">
        <f t="shared" si="18"/>
        <v>4.8</v>
      </c>
    </row>
    <row r="131" spans="1:12" ht="12.75">
      <c r="A131" s="3" t="s">
        <v>47</v>
      </c>
      <c r="C131" s="46">
        <f>G47</f>
        <v>6000</v>
      </c>
      <c r="D131" s="17">
        <f>H47</f>
        <v>4200</v>
      </c>
      <c r="E131" s="17">
        <f>I47</f>
        <v>3000</v>
      </c>
      <c r="F131" s="17">
        <f>J47</f>
        <v>2100</v>
      </c>
      <c r="G131" s="25">
        <f>K47</f>
        <v>1500</v>
      </c>
      <c r="H131" s="69">
        <f t="shared" si="14"/>
        <v>3</v>
      </c>
      <c r="I131" s="18">
        <f t="shared" si="15"/>
        <v>2.55</v>
      </c>
      <c r="J131" s="18">
        <f t="shared" si="16"/>
        <v>2.2</v>
      </c>
      <c r="K131" s="18">
        <f t="shared" si="17"/>
        <v>1.9125</v>
      </c>
      <c r="L131" s="26">
        <f t="shared" si="18"/>
        <v>1.68</v>
      </c>
    </row>
    <row r="132" spans="1:12" ht="12.75">
      <c r="A132" s="3" t="s">
        <v>48</v>
      </c>
      <c r="C132" s="46">
        <f>G50</f>
        <v>7800.000000000001</v>
      </c>
      <c r="D132" s="17">
        <f>H50</f>
        <v>7800.000000000001</v>
      </c>
      <c r="E132" s="17">
        <f>I50</f>
        <v>7800.000000000001</v>
      </c>
      <c r="F132" s="17">
        <f>J50</f>
        <v>7800.000000000001</v>
      </c>
      <c r="G132" s="25">
        <f>K50</f>
        <v>7800.000000000001</v>
      </c>
      <c r="H132" s="69">
        <f t="shared" si="14"/>
        <v>3.9000000000000004</v>
      </c>
      <c r="I132" s="18">
        <f t="shared" si="15"/>
        <v>3.9000000000000004</v>
      </c>
      <c r="J132" s="18">
        <f t="shared" si="16"/>
        <v>3.900000000000001</v>
      </c>
      <c r="K132" s="18">
        <f t="shared" si="17"/>
        <v>3.900000000000001</v>
      </c>
      <c r="L132" s="26">
        <f t="shared" si="18"/>
        <v>3.900000000000001</v>
      </c>
    </row>
    <row r="133" spans="1:12" ht="12.75">
      <c r="A133" s="3" t="s">
        <v>108</v>
      </c>
      <c r="C133" s="46">
        <f>G49</f>
        <v>10500</v>
      </c>
      <c r="D133" s="17">
        <f>H49</f>
        <v>7000</v>
      </c>
      <c r="E133" s="17">
        <f>I49</f>
        <v>5250</v>
      </c>
      <c r="F133" s="17">
        <f>J49</f>
        <v>3500</v>
      </c>
      <c r="G133" s="25">
        <f>K49</f>
        <v>1750</v>
      </c>
      <c r="H133" s="69">
        <f t="shared" si="14"/>
        <v>5.25</v>
      </c>
      <c r="I133" s="18">
        <f t="shared" si="15"/>
        <v>4.375</v>
      </c>
      <c r="J133" s="18">
        <f t="shared" si="16"/>
        <v>3.7916666666666665</v>
      </c>
      <c r="K133" s="18">
        <f t="shared" si="17"/>
        <v>3.28125</v>
      </c>
      <c r="L133" s="26">
        <f t="shared" si="18"/>
        <v>2.8</v>
      </c>
    </row>
    <row r="134" spans="1:12" ht="12.75">
      <c r="A134" s="3" t="s">
        <v>58</v>
      </c>
      <c r="C134" s="46">
        <f aca="true" t="shared" si="19" ref="C134:G136">G51</f>
        <v>7800.000000000001</v>
      </c>
      <c r="D134" s="17">
        <f t="shared" si="19"/>
        <v>8320</v>
      </c>
      <c r="E134" s="17">
        <f t="shared" si="19"/>
        <v>8840</v>
      </c>
      <c r="F134" s="17">
        <f t="shared" si="19"/>
        <v>9620.000000000002</v>
      </c>
      <c r="G134" s="25">
        <f t="shared" si="19"/>
        <v>10400</v>
      </c>
      <c r="H134" s="69">
        <f t="shared" si="14"/>
        <v>3.9000000000000004</v>
      </c>
      <c r="I134" s="18">
        <f t="shared" si="15"/>
        <v>4.03</v>
      </c>
      <c r="J134" s="18">
        <f t="shared" si="16"/>
        <v>4.16</v>
      </c>
      <c r="K134" s="18">
        <f t="shared" si="17"/>
        <v>4.3225</v>
      </c>
      <c r="L134" s="26">
        <f t="shared" si="18"/>
        <v>4.498</v>
      </c>
    </row>
    <row r="135" spans="1:12" ht="12.75">
      <c r="A135" s="3" t="s">
        <v>59</v>
      </c>
      <c r="C135" s="46">
        <f t="shared" si="19"/>
        <v>1000</v>
      </c>
      <c r="D135" s="17">
        <f t="shared" si="19"/>
        <v>1000</v>
      </c>
      <c r="E135" s="17">
        <f t="shared" si="19"/>
        <v>1000</v>
      </c>
      <c r="F135" s="17">
        <f t="shared" si="19"/>
        <v>1000</v>
      </c>
      <c r="G135" s="25">
        <f t="shared" si="19"/>
        <v>1000</v>
      </c>
      <c r="H135" s="69">
        <f t="shared" si="14"/>
        <v>0.5</v>
      </c>
      <c r="I135" s="18">
        <f t="shared" si="15"/>
        <v>0.5</v>
      </c>
      <c r="J135" s="18">
        <f t="shared" si="16"/>
        <v>0.5</v>
      </c>
      <c r="K135" s="18">
        <f t="shared" si="17"/>
        <v>0.5</v>
      </c>
      <c r="L135" s="26">
        <f t="shared" si="18"/>
        <v>0.5</v>
      </c>
    </row>
    <row r="136" spans="1:12" ht="12.75">
      <c r="A136" s="3" t="s">
        <v>60</v>
      </c>
      <c r="C136" s="46">
        <f t="shared" si="19"/>
        <v>6000</v>
      </c>
      <c r="D136" s="17">
        <f t="shared" si="19"/>
        <v>8000</v>
      </c>
      <c r="E136" s="17">
        <f t="shared" si="19"/>
        <v>10000</v>
      </c>
      <c r="F136" s="17">
        <f t="shared" si="19"/>
        <v>12400</v>
      </c>
      <c r="G136" s="25">
        <f t="shared" si="19"/>
        <v>15000</v>
      </c>
      <c r="H136" s="69">
        <f t="shared" si="14"/>
        <v>3</v>
      </c>
      <c r="I136" s="18">
        <f t="shared" si="15"/>
        <v>3.5</v>
      </c>
      <c r="J136" s="18">
        <f t="shared" si="16"/>
        <v>4</v>
      </c>
      <c r="K136" s="18">
        <f t="shared" si="17"/>
        <v>4.55</v>
      </c>
      <c r="L136" s="26">
        <f t="shared" si="18"/>
        <v>5.14</v>
      </c>
    </row>
    <row r="137" spans="1:12" ht="12.75">
      <c r="A137" s="3" t="s">
        <v>26</v>
      </c>
      <c r="C137" s="46">
        <f>G54</f>
        <v>1600</v>
      </c>
      <c r="D137" s="17">
        <f>H54</f>
        <v>1600</v>
      </c>
      <c r="E137" s="17">
        <f>I54</f>
        <v>2400</v>
      </c>
      <c r="F137" s="17">
        <f>J54</f>
        <v>4000</v>
      </c>
      <c r="G137" s="25">
        <f>K54</f>
        <v>6400</v>
      </c>
      <c r="H137" s="69">
        <f t="shared" si="14"/>
        <v>0.8</v>
      </c>
      <c r="I137" s="18">
        <f t="shared" si="15"/>
        <v>0.8</v>
      </c>
      <c r="J137" s="18">
        <f t="shared" si="16"/>
        <v>0.9333333333333333</v>
      </c>
      <c r="K137" s="18">
        <f t="shared" si="17"/>
        <v>1.2</v>
      </c>
      <c r="L137" s="26">
        <f t="shared" si="18"/>
        <v>1.6</v>
      </c>
    </row>
    <row r="138" spans="1:12" s="20" customFormat="1" ht="12.75">
      <c r="A138" s="19" t="s">
        <v>61</v>
      </c>
      <c r="C138" s="68">
        <f>G56</f>
        <v>0</v>
      </c>
      <c r="D138" s="13">
        <f>H56</f>
        <v>2067.2000000000016</v>
      </c>
      <c r="E138" s="13">
        <f>I56</f>
        <v>23608.49600000001</v>
      </c>
      <c r="F138" s="13">
        <f>J56</f>
        <v>31105.93600000001</v>
      </c>
      <c r="G138" s="94">
        <f>K56</f>
        <v>41472.80000000004</v>
      </c>
      <c r="H138" s="77">
        <f t="shared" si="14"/>
        <v>0</v>
      </c>
      <c r="I138" s="14">
        <f t="shared" si="15"/>
        <v>0.5168000000000004</v>
      </c>
      <c r="J138" s="14">
        <f t="shared" si="16"/>
        <v>4.279282666666669</v>
      </c>
      <c r="K138" s="14">
        <f t="shared" si="17"/>
        <v>7.097704000000002</v>
      </c>
      <c r="L138" s="66">
        <f t="shared" si="18"/>
        <v>9.825443200000006</v>
      </c>
    </row>
    <row r="139" spans="1:12" ht="12.75">
      <c r="A139" t="s">
        <v>103</v>
      </c>
      <c r="C139" s="46">
        <f>SUM(C129:C138)</f>
        <v>87700</v>
      </c>
      <c r="D139" s="17">
        <f>SUM(D129:D138)</f>
        <v>71987.2</v>
      </c>
      <c r="E139" s="17">
        <f>SUM(E129:E138)</f>
        <v>85398.49600000001</v>
      </c>
      <c r="F139" s="17">
        <f>SUM(F129:F138)</f>
        <v>87525.93600000002</v>
      </c>
      <c r="G139" s="25">
        <f>SUM(G129:G138)</f>
        <v>94822.80000000005</v>
      </c>
      <c r="H139" s="69"/>
      <c r="I139" s="18"/>
      <c r="J139" s="18"/>
      <c r="K139" s="18"/>
      <c r="L139" s="26"/>
    </row>
    <row r="140" spans="1:12" ht="12.75">
      <c r="A140" s="58" t="s">
        <v>104</v>
      </c>
      <c r="B140" s="58"/>
      <c r="C140" s="68">
        <f>B140+C139</f>
        <v>87700</v>
      </c>
      <c r="D140" s="13">
        <f>C140+D139</f>
        <v>159687.2</v>
      </c>
      <c r="E140" s="13">
        <f>D140+E139</f>
        <v>245085.69600000003</v>
      </c>
      <c r="F140" s="13">
        <f>E140+F139</f>
        <v>332611.63200000004</v>
      </c>
      <c r="G140" s="94">
        <f>F140+G139</f>
        <v>427434.4320000001</v>
      </c>
      <c r="H140" s="77"/>
      <c r="I140" s="14"/>
      <c r="J140" s="14"/>
      <c r="K140" s="14"/>
      <c r="L140" s="66"/>
    </row>
    <row r="141" spans="1:12" ht="12.75">
      <c r="A141" s="3" t="s">
        <v>80</v>
      </c>
      <c r="C141" s="46"/>
      <c r="D141" s="17"/>
      <c r="E141" s="17"/>
      <c r="F141" s="17"/>
      <c r="G141" s="25"/>
      <c r="H141" s="35"/>
      <c r="I141" s="20"/>
      <c r="J141" s="20"/>
      <c r="K141" s="20"/>
      <c r="L141" s="44"/>
    </row>
    <row r="142" spans="1:12" s="20" customFormat="1" ht="13.5" thickBot="1">
      <c r="A142" s="91" t="s">
        <v>67</v>
      </c>
      <c r="B142" s="71"/>
      <c r="C142" s="72">
        <f>G57</f>
        <v>0</v>
      </c>
      <c r="D142" s="15">
        <f>H57</f>
        <v>0</v>
      </c>
      <c r="E142" s="15">
        <f>I57</f>
        <v>5000.000000000005</v>
      </c>
      <c r="F142" s="15">
        <f>J57</f>
        <v>5000.000000000005</v>
      </c>
      <c r="G142" s="95">
        <f>K57</f>
        <v>5000.000000000005</v>
      </c>
      <c r="H142" s="78">
        <f>C142/($F$26*H127)</f>
        <v>0</v>
      </c>
      <c r="I142" s="16">
        <f>D142/($F$26*I127)</f>
        <v>0</v>
      </c>
      <c r="J142" s="16">
        <f>E142/($F$26*J127)</f>
        <v>0.833333333333334</v>
      </c>
      <c r="K142" s="16">
        <f>F142/($F$26*K127)</f>
        <v>0.6250000000000006</v>
      </c>
      <c r="L142" s="73">
        <f>G142/($F$26*L127)</f>
        <v>0.5000000000000004</v>
      </c>
    </row>
    <row r="143" spans="1:12" ht="13.5" thickTop="1">
      <c r="A143" t="s">
        <v>107</v>
      </c>
      <c r="C143" s="46">
        <f>C140+C142</f>
        <v>87700</v>
      </c>
      <c r="D143" s="17">
        <f>D140+D142</f>
        <v>159687.2</v>
      </c>
      <c r="E143" s="17">
        <f>E140+E142</f>
        <v>250085.69600000003</v>
      </c>
      <c r="F143" s="17">
        <f>F140+F142</f>
        <v>337611.63200000004</v>
      </c>
      <c r="G143" s="25">
        <f>G140+G142</f>
        <v>432434.4320000001</v>
      </c>
      <c r="H143" s="35"/>
      <c r="I143" s="20"/>
      <c r="J143" s="20"/>
      <c r="K143" s="20"/>
      <c r="L143" s="44"/>
    </row>
    <row r="144" spans="1:12" ht="12.75">
      <c r="A144" t="s">
        <v>105</v>
      </c>
      <c r="C144" s="69">
        <f>C143/($F$26*C127)</f>
        <v>43.85</v>
      </c>
      <c r="D144" s="18">
        <f>D143/($F$26*D127)</f>
        <v>39.921800000000005</v>
      </c>
      <c r="E144" s="18">
        <f>E143/($F$26*E127)</f>
        <v>41.68094933333334</v>
      </c>
      <c r="F144" s="18">
        <f>F143/($F$26*F127)</f>
        <v>42.201454000000005</v>
      </c>
      <c r="G144" s="26">
        <f>G143/($F$26*G127)</f>
        <v>43.24344320000001</v>
      </c>
      <c r="H144" s="69">
        <f>SUM(H129:H142)</f>
        <v>43.849999999999994</v>
      </c>
      <c r="I144" s="18">
        <f>SUM(I129:I142)</f>
        <v>39.921800000000005</v>
      </c>
      <c r="J144" s="18">
        <f>SUM(J129:J142)</f>
        <v>41.68094933333334</v>
      </c>
      <c r="K144" s="18">
        <f>SUM(K129:K142)</f>
        <v>42.201454000000005</v>
      </c>
      <c r="L144" s="26">
        <f>SUM(L129:L142)</f>
        <v>43.243443200000016</v>
      </c>
    </row>
    <row r="145" spans="1:12" ht="13.5" thickBot="1">
      <c r="A145" s="27" t="s">
        <v>91</v>
      </c>
      <c r="B145" s="67"/>
      <c r="C145" s="96">
        <v>1</v>
      </c>
      <c r="D145" s="97">
        <v>2</v>
      </c>
      <c r="E145" s="97">
        <v>3</v>
      </c>
      <c r="F145" s="97">
        <v>4</v>
      </c>
      <c r="G145" s="101">
        <v>5</v>
      </c>
      <c r="H145" s="98">
        <v>1</v>
      </c>
      <c r="I145" s="99">
        <v>2</v>
      </c>
      <c r="J145" s="99">
        <v>3</v>
      </c>
      <c r="K145" s="99">
        <v>4</v>
      </c>
      <c r="L145" s="100">
        <v>5</v>
      </c>
    </row>
    <row r="146" spans="5:9" ht="12.75">
      <c r="E146" s="7"/>
      <c r="F146" s="7"/>
      <c r="G146" s="7"/>
      <c r="H146" s="7"/>
      <c r="I146" s="7"/>
    </row>
    <row r="147" spans="5:9" ht="13.5" thickBot="1">
      <c r="E147" s="7"/>
      <c r="F147" s="7"/>
      <c r="G147" s="7"/>
      <c r="H147" s="7"/>
      <c r="I147" s="7"/>
    </row>
    <row r="148" spans="1:12" ht="13.5" thickBot="1">
      <c r="A148" s="89" t="s">
        <v>85</v>
      </c>
      <c r="B148" s="50"/>
      <c r="C148" s="50"/>
      <c r="D148" s="50"/>
      <c r="E148" s="50"/>
      <c r="F148" s="50"/>
      <c r="G148" s="50"/>
      <c r="H148" s="92"/>
      <c r="I148" s="92"/>
      <c r="J148" s="92"/>
      <c r="K148" s="92"/>
      <c r="L148" s="93"/>
    </row>
    <row r="149" spans="3:12" ht="12.75">
      <c r="C149" s="52"/>
      <c r="D149" s="30"/>
      <c r="E149" s="53" t="s">
        <v>19</v>
      </c>
      <c r="F149" s="30"/>
      <c r="G149" s="37"/>
      <c r="H149" s="52"/>
      <c r="I149" s="30"/>
      <c r="J149" s="53" t="s">
        <v>43</v>
      </c>
      <c r="K149" s="30"/>
      <c r="L149" s="37"/>
    </row>
    <row r="150" spans="2:12" ht="12.75">
      <c r="B150" s="2"/>
      <c r="C150" s="85">
        <v>1</v>
      </c>
      <c r="D150" s="86">
        <v>2</v>
      </c>
      <c r="E150" s="86">
        <v>3</v>
      </c>
      <c r="F150" s="86">
        <v>4</v>
      </c>
      <c r="G150" s="87">
        <v>5</v>
      </c>
      <c r="H150" s="85">
        <v>1</v>
      </c>
      <c r="I150" s="86">
        <v>2</v>
      </c>
      <c r="J150" s="86">
        <v>3</v>
      </c>
      <c r="K150" s="86">
        <v>4</v>
      </c>
      <c r="L150" s="87">
        <v>5</v>
      </c>
    </row>
    <row r="151" spans="1:12" ht="12.75">
      <c r="A151" s="3" t="s">
        <v>79</v>
      </c>
      <c r="C151" s="57"/>
      <c r="D151" s="58"/>
      <c r="E151" s="86" t="s">
        <v>45</v>
      </c>
      <c r="F151" s="58"/>
      <c r="G151" s="56"/>
      <c r="H151" s="77"/>
      <c r="I151" s="58"/>
      <c r="J151" s="86" t="s">
        <v>46</v>
      </c>
      <c r="K151" s="58"/>
      <c r="L151" s="56"/>
    </row>
    <row r="152" spans="1:12" ht="12.75">
      <c r="A152" t="s">
        <v>78</v>
      </c>
      <c r="C152" s="46">
        <f>G45</f>
        <v>30000</v>
      </c>
      <c r="D152" s="17">
        <f>H45</f>
        <v>20000</v>
      </c>
      <c r="E152" s="17">
        <f>I45</f>
        <v>15000</v>
      </c>
      <c r="F152" s="17">
        <f>J45</f>
        <v>10000</v>
      </c>
      <c r="G152" s="25">
        <f>K45</f>
        <v>5000</v>
      </c>
      <c r="H152" s="69">
        <f aca="true" t="shared" si="20" ref="H152:H161">C152/$F$26</f>
        <v>15</v>
      </c>
      <c r="I152" s="18">
        <f aca="true" t="shared" si="21" ref="I152:I161">(H152*$F$26*H$127+D152)/(I$127*$F$26)</f>
        <v>12.5</v>
      </c>
      <c r="J152" s="18">
        <f aca="true" t="shared" si="22" ref="J152:J161">(I152*$F$26*I$127+E152)/(J$127*$F$26)</f>
        <v>10.833333333333334</v>
      </c>
      <c r="K152" s="18">
        <f aca="true" t="shared" si="23" ref="K152:K161">(J152*$F$26*J$127+F152)/(K$127*$F$26)</f>
        <v>9.375</v>
      </c>
      <c r="L152" s="26">
        <f aca="true" t="shared" si="24" ref="L152:L161">(K152*$F$26*K$127+G152)/(L$127*$F$26)</f>
        <v>8</v>
      </c>
    </row>
    <row r="153" spans="1:12" ht="12.75">
      <c r="A153" s="3" t="s">
        <v>121</v>
      </c>
      <c r="C153" s="46">
        <f>G48</f>
        <v>17000</v>
      </c>
      <c r="D153" s="17">
        <f>H48</f>
        <v>12000</v>
      </c>
      <c r="E153" s="17">
        <f>I48</f>
        <v>8500</v>
      </c>
      <c r="F153" s="17">
        <f>J48</f>
        <v>6000</v>
      </c>
      <c r="G153" s="25">
        <f>K48</f>
        <v>4500</v>
      </c>
      <c r="H153" s="69">
        <f t="shared" si="20"/>
        <v>8.5</v>
      </c>
      <c r="I153" s="18">
        <f t="shared" si="21"/>
        <v>7.25</v>
      </c>
      <c r="J153" s="18">
        <f t="shared" si="22"/>
        <v>6.25</v>
      </c>
      <c r="K153" s="18">
        <f t="shared" si="23"/>
        <v>5.4375</v>
      </c>
      <c r="L153" s="26">
        <f t="shared" si="24"/>
        <v>4.8</v>
      </c>
    </row>
    <row r="154" spans="1:12" ht="12.75">
      <c r="A154" s="3" t="s">
        <v>47</v>
      </c>
      <c r="C154" s="46">
        <f>G47</f>
        <v>6000</v>
      </c>
      <c r="D154" s="17">
        <f>H47</f>
        <v>4200</v>
      </c>
      <c r="E154" s="17">
        <f>I47</f>
        <v>3000</v>
      </c>
      <c r="F154" s="17">
        <f>J47</f>
        <v>2100</v>
      </c>
      <c r="G154" s="25">
        <f>K47</f>
        <v>1500</v>
      </c>
      <c r="H154" s="69">
        <f t="shared" si="20"/>
        <v>3</v>
      </c>
      <c r="I154" s="18">
        <f t="shared" si="21"/>
        <v>2.55</v>
      </c>
      <c r="J154" s="18">
        <f t="shared" si="22"/>
        <v>2.2</v>
      </c>
      <c r="K154" s="18">
        <f t="shared" si="23"/>
        <v>1.9125</v>
      </c>
      <c r="L154" s="26">
        <f t="shared" si="24"/>
        <v>1.68</v>
      </c>
    </row>
    <row r="155" spans="1:12" ht="12.75">
      <c r="A155" s="3" t="s">
        <v>48</v>
      </c>
      <c r="C155" s="46">
        <f>G50</f>
        <v>7800.000000000001</v>
      </c>
      <c r="D155" s="17">
        <f>H50</f>
        <v>7800.000000000001</v>
      </c>
      <c r="E155" s="17">
        <f>I50</f>
        <v>7800.000000000001</v>
      </c>
      <c r="F155" s="17">
        <f>J50</f>
        <v>7800.000000000001</v>
      </c>
      <c r="G155" s="25">
        <f>K50</f>
        <v>7800.000000000001</v>
      </c>
      <c r="H155" s="69">
        <f t="shared" si="20"/>
        <v>3.9000000000000004</v>
      </c>
      <c r="I155" s="18">
        <f t="shared" si="21"/>
        <v>3.9000000000000004</v>
      </c>
      <c r="J155" s="18">
        <f t="shared" si="22"/>
        <v>3.900000000000001</v>
      </c>
      <c r="K155" s="18">
        <f t="shared" si="23"/>
        <v>3.900000000000001</v>
      </c>
      <c r="L155" s="26">
        <f t="shared" si="24"/>
        <v>3.900000000000001</v>
      </c>
    </row>
    <row r="156" spans="1:12" ht="12.75">
      <c r="A156" s="3" t="s">
        <v>108</v>
      </c>
      <c r="C156" s="46"/>
      <c r="D156" s="17"/>
      <c r="E156" s="17"/>
      <c r="F156" s="17"/>
      <c r="G156" s="25"/>
      <c r="H156" s="69">
        <f t="shared" si="20"/>
        <v>0</v>
      </c>
      <c r="I156" s="18">
        <f t="shared" si="21"/>
        <v>0</v>
      </c>
      <c r="J156" s="18">
        <f t="shared" si="22"/>
        <v>0</v>
      </c>
      <c r="K156" s="18">
        <f t="shared" si="23"/>
        <v>0</v>
      </c>
      <c r="L156" s="26">
        <f t="shared" si="24"/>
        <v>0</v>
      </c>
    </row>
    <row r="157" spans="1:12" ht="12.75">
      <c r="A157" s="3" t="s">
        <v>58</v>
      </c>
      <c r="C157" s="46">
        <f aca="true" t="shared" si="25" ref="C157:G160">G51</f>
        <v>7800.000000000001</v>
      </c>
      <c r="D157" s="17">
        <f t="shared" si="25"/>
        <v>8320</v>
      </c>
      <c r="E157" s="17">
        <f t="shared" si="25"/>
        <v>8840</v>
      </c>
      <c r="F157" s="17">
        <f t="shared" si="25"/>
        <v>9620.000000000002</v>
      </c>
      <c r="G157" s="25">
        <f t="shared" si="25"/>
        <v>10400</v>
      </c>
      <c r="H157" s="69">
        <f t="shared" si="20"/>
        <v>3.9000000000000004</v>
      </c>
      <c r="I157" s="18">
        <f t="shared" si="21"/>
        <v>4.03</v>
      </c>
      <c r="J157" s="18">
        <f t="shared" si="22"/>
        <v>4.16</v>
      </c>
      <c r="K157" s="18">
        <f t="shared" si="23"/>
        <v>4.3225</v>
      </c>
      <c r="L157" s="26">
        <f t="shared" si="24"/>
        <v>4.498</v>
      </c>
    </row>
    <row r="158" spans="1:12" ht="12.75">
      <c r="A158" s="3" t="s">
        <v>59</v>
      </c>
      <c r="C158" s="46">
        <f t="shared" si="25"/>
        <v>1000</v>
      </c>
      <c r="D158" s="17">
        <f t="shared" si="25"/>
        <v>1000</v>
      </c>
      <c r="E158" s="17">
        <f t="shared" si="25"/>
        <v>1000</v>
      </c>
      <c r="F158" s="17">
        <f t="shared" si="25"/>
        <v>1000</v>
      </c>
      <c r="G158" s="25">
        <f t="shared" si="25"/>
        <v>1000</v>
      </c>
      <c r="H158" s="69">
        <f t="shared" si="20"/>
        <v>0.5</v>
      </c>
      <c r="I158" s="18">
        <f t="shared" si="21"/>
        <v>0.5</v>
      </c>
      <c r="J158" s="18">
        <f t="shared" si="22"/>
        <v>0.5</v>
      </c>
      <c r="K158" s="18">
        <f t="shared" si="23"/>
        <v>0.5</v>
      </c>
      <c r="L158" s="26">
        <f t="shared" si="24"/>
        <v>0.5</v>
      </c>
    </row>
    <row r="159" spans="1:12" ht="12.75">
      <c r="A159" s="3" t="s">
        <v>60</v>
      </c>
      <c r="C159" s="46">
        <f t="shared" si="25"/>
        <v>6000</v>
      </c>
      <c r="D159" s="17">
        <f t="shared" si="25"/>
        <v>8000</v>
      </c>
      <c r="E159" s="17">
        <f t="shared" si="25"/>
        <v>10000</v>
      </c>
      <c r="F159" s="17">
        <f t="shared" si="25"/>
        <v>12400</v>
      </c>
      <c r="G159" s="25">
        <f t="shared" si="25"/>
        <v>15000</v>
      </c>
      <c r="H159" s="69">
        <f t="shared" si="20"/>
        <v>3</v>
      </c>
      <c r="I159" s="18">
        <f t="shared" si="21"/>
        <v>3.5</v>
      </c>
      <c r="J159" s="18">
        <f t="shared" si="22"/>
        <v>4</v>
      </c>
      <c r="K159" s="18">
        <f t="shared" si="23"/>
        <v>4.55</v>
      </c>
      <c r="L159" s="26">
        <f t="shared" si="24"/>
        <v>5.14</v>
      </c>
    </row>
    <row r="160" spans="1:12" ht="12.75">
      <c r="A160" s="3" t="s">
        <v>26</v>
      </c>
      <c r="C160" s="46">
        <f t="shared" si="25"/>
        <v>1600</v>
      </c>
      <c r="D160" s="17">
        <f t="shared" si="25"/>
        <v>1600</v>
      </c>
      <c r="E160" s="17">
        <f t="shared" si="25"/>
        <v>2400</v>
      </c>
      <c r="F160" s="17">
        <f t="shared" si="25"/>
        <v>4000</v>
      </c>
      <c r="G160" s="25">
        <f t="shared" si="25"/>
        <v>6400</v>
      </c>
      <c r="H160" s="69">
        <f t="shared" si="20"/>
        <v>0.8</v>
      </c>
      <c r="I160" s="18">
        <f t="shared" si="21"/>
        <v>0.8</v>
      </c>
      <c r="J160" s="18">
        <f t="shared" si="22"/>
        <v>0.9333333333333333</v>
      </c>
      <c r="K160" s="18">
        <f t="shared" si="23"/>
        <v>1.2</v>
      </c>
      <c r="L160" s="26">
        <f t="shared" si="24"/>
        <v>1.6</v>
      </c>
    </row>
    <row r="161" spans="1:12" ht="12.75">
      <c r="A161" s="19" t="s">
        <v>61</v>
      </c>
      <c r="B161" s="20"/>
      <c r="C161" s="68"/>
      <c r="D161" s="13"/>
      <c r="E161" s="13"/>
      <c r="F161" s="13"/>
      <c r="G161" s="94"/>
      <c r="H161" s="77">
        <f t="shared" si="20"/>
        <v>0</v>
      </c>
      <c r="I161" s="14">
        <f t="shared" si="21"/>
        <v>0</v>
      </c>
      <c r="J161" s="14">
        <f t="shared" si="22"/>
        <v>0</v>
      </c>
      <c r="K161" s="14">
        <f t="shared" si="23"/>
        <v>0</v>
      </c>
      <c r="L161" s="66">
        <f t="shared" si="24"/>
        <v>0</v>
      </c>
    </row>
    <row r="162" spans="1:12" ht="12.75">
      <c r="A162" t="s">
        <v>103</v>
      </c>
      <c r="C162" s="46">
        <f>SUM(C152:C161)</f>
        <v>77200</v>
      </c>
      <c r="D162" s="17">
        <f>SUM(D152:D161)</f>
        <v>62920</v>
      </c>
      <c r="E162" s="17">
        <f>SUM(E152:E161)</f>
        <v>56540</v>
      </c>
      <c r="F162" s="17">
        <f>SUM(F152:F161)</f>
        <v>52920</v>
      </c>
      <c r="G162" s="25">
        <f>SUM(G152:G161)</f>
        <v>51600</v>
      </c>
      <c r="H162" s="69"/>
      <c r="I162" s="18"/>
      <c r="J162" s="18"/>
      <c r="K162" s="18"/>
      <c r="L162" s="26"/>
    </row>
    <row r="163" spans="1:12" ht="12.75">
      <c r="A163" s="58" t="s">
        <v>104</v>
      </c>
      <c r="B163" s="58"/>
      <c r="C163" s="68">
        <f>B163+C162</f>
        <v>77200</v>
      </c>
      <c r="D163" s="13">
        <f>C163+D162</f>
        <v>140120</v>
      </c>
      <c r="E163" s="13">
        <f>D163+E162</f>
        <v>196660</v>
      </c>
      <c r="F163" s="13">
        <f>E163+F162</f>
        <v>249580</v>
      </c>
      <c r="G163" s="94">
        <f>F163+G162</f>
        <v>301180</v>
      </c>
      <c r="H163" s="77"/>
      <c r="I163" s="14"/>
      <c r="J163" s="14"/>
      <c r="K163" s="14"/>
      <c r="L163" s="66"/>
    </row>
    <row r="164" spans="1:12" ht="12.75">
      <c r="A164" s="3" t="s">
        <v>80</v>
      </c>
      <c r="C164" s="46"/>
      <c r="D164" s="17"/>
      <c r="E164" s="17"/>
      <c r="F164" s="17"/>
      <c r="G164" s="25"/>
      <c r="H164" s="35"/>
      <c r="I164" s="20"/>
      <c r="J164" s="20"/>
      <c r="K164" s="20"/>
      <c r="L164" s="44"/>
    </row>
    <row r="165" spans="1:12" ht="13.5" thickBot="1">
      <c r="A165" s="91" t="s">
        <v>67</v>
      </c>
      <c r="B165" s="71"/>
      <c r="C165" s="72">
        <f>G57</f>
        <v>0</v>
      </c>
      <c r="D165" s="15">
        <f>H57</f>
        <v>0</v>
      </c>
      <c r="E165" s="15">
        <f>I57</f>
        <v>5000.000000000005</v>
      </c>
      <c r="F165" s="15">
        <f>J57</f>
        <v>5000.000000000005</v>
      </c>
      <c r="G165" s="95">
        <f>K57</f>
        <v>5000.000000000005</v>
      </c>
      <c r="H165" s="78">
        <f>C165/($F$26*H150)</f>
        <v>0</v>
      </c>
      <c r="I165" s="16">
        <f>D165/($F$26*I150)</f>
        <v>0</v>
      </c>
      <c r="J165" s="16">
        <f>E165/($F$26*J150)</f>
        <v>0.833333333333334</v>
      </c>
      <c r="K165" s="16">
        <f>F165/($F$26*K150)</f>
        <v>0.6250000000000006</v>
      </c>
      <c r="L165" s="73">
        <f>G165/($F$26*L150)</f>
        <v>0.5000000000000004</v>
      </c>
    </row>
    <row r="166" spans="1:12" ht="13.5" thickTop="1">
      <c r="A166" t="s">
        <v>107</v>
      </c>
      <c r="C166" s="46">
        <f>C163+C165</f>
        <v>77200</v>
      </c>
      <c r="D166" s="17">
        <f>D163+D165</f>
        <v>140120</v>
      </c>
      <c r="E166" s="17">
        <f>E163+E165</f>
        <v>201660</v>
      </c>
      <c r="F166" s="17">
        <f>F163+F165</f>
        <v>254580</v>
      </c>
      <c r="G166" s="25">
        <f>G163+G165</f>
        <v>306180</v>
      </c>
      <c r="H166" s="35"/>
      <c r="I166" s="20"/>
      <c r="J166" s="20"/>
      <c r="K166" s="20"/>
      <c r="L166" s="44"/>
    </row>
    <row r="167" spans="1:12" ht="12.75">
      <c r="A167" t="s">
        <v>105</v>
      </c>
      <c r="C167" s="69">
        <f>C166/($F$26*C150)</f>
        <v>38.6</v>
      </c>
      <c r="D167" s="18">
        <f>D166/($F$26*D150)</f>
        <v>35.03</v>
      </c>
      <c r="E167" s="18">
        <f>E166/($F$26*E150)</f>
        <v>33.61</v>
      </c>
      <c r="F167" s="18">
        <f>F166/($F$26*F150)</f>
        <v>31.8225</v>
      </c>
      <c r="G167" s="26">
        <f>G166/($F$26*G150)</f>
        <v>30.618</v>
      </c>
      <c r="H167" s="69">
        <f>SUM(H152:H165)</f>
        <v>38.599999999999994</v>
      </c>
      <c r="I167" s="18">
        <f>SUM(I152:I165)</f>
        <v>35.03</v>
      </c>
      <c r="J167" s="18">
        <f>SUM(J152:J165)</f>
        <v>33.61000000000001</v>
      </c>
      <c r="K167" s="18">
        <f>SUM(K152:K165)</f>
        <v>31.822500000000005</v>
      </c>
      <c r="L167" s="26">
        <f>SUM(L152:L165)</f>
        <v>30.618000000000006</v>
      </c>
    </row>
    <row r="168" spans="1:12" ht="13.5" thickBot="1">
      <c r="A168" s="27" t="s">
        <v>91</v>
      </c>
      <c r="B168" s="67"/>
      <c r="C168" s="96">
        <v>1</v>
      </c>
      <c r="D168" s="97">
        <v>2</v>
      </c>
      <c r="E168" s="97">
        <v>3</v>
      </c>
      <c r="F168" s="97">
        <v>4</v>
      </c>
      <c r="G168" s="97">
        <v>5</v>
      </c>
      <c r="H168" s="98">
        <v>1</v>
      </c>
      <c r="I168" s="99">
        <v>2</v>
      </c>
      <c r="J168" s="99">
        <v>3</v>
      </c>
      <c r="K168" s="99">
        <v>4</v>
      </c>
      <c r="L168" s="100">
        <v>5</v>
      </c>
    </row>
    <row r="169" spans="5:9" ht="12.75">
      <c r="E169" s="7"/>
      <c r="F169" s="7"/>
      <c r="G169" s="7"/>
      <c r="H169" s="7"/>
      <c r="I169" s="7"/>
    </row>
    <row r="170" spans="5:9" ht="12.75">
      <c r="E170" s="7"/>
      <c r="F170" s="7"/>
      <c r="G170" s="7"/>
      <c r="H170" s="7"/>
      <c r="I170" s="7"/>
    </row>
  </sheetData>
  <mergeCells count="2">
    <mergeCell ref="F29:K29"/>
    <mergeCell ref="F41:K41"/>
  </mergeCells>
  <printOptions headings="1" horizontalCentered="1" verticalCentered="1"/>
  <pageMargins left="0.65" right="0.49" top="0.74" bottom="0.75" header="0.5" footer="0.5"/>
  <pageSetup orientation="portrait" scale="75" r:id="rId2"/>
  <headerFooter alignWithMargins="0">
    <oddFooter>&amp;LR. I. Carr &amp;D&amp;CEquipment Cost Spreadsheet&amp;RPage &amp;P</oddFooter>
  </headerFooter>
  <rowBreaks count="2" manualBreakCount="2">
    <brk id="60" max="255" man="1"/>
    <brk id="12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146"/>
  <sheetViews>
    <sheetView showGridLines="0" zoomScale="75" zoomScaleNormal="75" workbookViewId="0" topLeftCell="A1">
      <selection activeCell="G5" sqref="G5"/>
    </sheetView>
  </sheetViews>
  <sheetFormatPr defaultColWidth="9.7109375" defaultRowHeight="12.75"/>
  <cols>
    <col min="1" max="1" width="25.7109375" style="0" customWidth="1"/>
    <col min="2" max="2" width="8.7109375" style="0" customWidth="1"/>
    <col min="3" max="3" width="9.28125" style="0" customWidth="1"/>
    <col min="4" max="6" width="9.140625" style="0" customWidth="1"/>
    <col min="7" max="7" width="9.28125" style="0" customWidth="1"/>
    <col min="8" max="12" width="8.28125" style="0" customWidth="1"/>
    <col min="13" max="13" width="8.7109375" style="0" customWidth="1"/>
    <col min="14" max="15" width="7.7109375" style="0" customWidth="1"/>
  </cols>
  <sheetData>
    <row r="1" spans="1:5" ht="12.75">
      <c r="A1" s="3" t="s">
        <v>0</v>
      </c>
      <c r="E1" s="1" t="s">
        <v>1</v>
      </c>
    </row>
    <row r="2" ht="12.75">
      <c r="A2" s="3" t="s">
        <v>2</v>
      </c>
    </row>
    <row r="3" spans="1:5" ht="12.75">
      <c r="A3" s="3" t="s">
        <v>3</v>
      </c>
      <c r="E3" s="88" t="s">
        <v>114</v>
      </c>
    </row>
    <row r="4" spans="1:5" ht="12.75">
      <c r="A4" s="3" t="s">
        <v>4</v>
      </c>
      <c r="E4" s="88" t="s">
        <v>115</v>
      </c>
    </row>
    <row r="5" ht="12.75">
      <c r="A5" s="3" t="s">
        <v>5</v>
      </c>
    </row>
    <row r="6" ht="12.75">
      <c r="A6" s="3" t="s">
        <v>6</v>
      </c>
    </row>
    <row r="8" ht="12.75">
      <c r="A8" t="s">
        <v>3</v>
      </c>
    </row>
    <row r="9" spans="1:6" ht="12.75">
      <c r="A9" s="3" t="s">
        <v>7</v>
      </c>
      <c r="F9" s="4">
        <v>100000</v>
      </c>
    </row>
    <row r="10" spans="1:6" ht="12.75">
      <c r="A10" s="3" t="s">
        <v>8</v>
      </c>
      <c r="F10" s="5">
        <v>0.2</v>
      </c>
    </row>
    <row r="11" spans="1:6" ht="12.75">
      <c r="A11" s="3" t="s">
        <v>9</v>
      </c>
      <c r="F11" s="6">
        <v>0.06</v>
      </c>
    </row>
    <row r="12" spans="1:6" ht="12.75">
      <c r="A12" s="3" t="s">
        <v>10</v>
      </c>
      <c r="F12" s="5">
        <v>0.35</v>
      </c>
    </row>
    <row r="13" spans="1:6" ht="12.75">
      <c r="A13" s="3" t="s">
        <v>11</v>
      </c>
      <c r="F13" s="4">
        <v>12000</v>
      </c>
    </row>
    <row r="14" spans="1:6" ht="12.75">
      <c r="A14" s="3" t="s">
        <v>12</v>
      </c>
      <c r="F14" s="2">
        <v>4000</v>
      </c>
    </row>
    <row r="15" spans="1:6" ht="12.75">
      <c r="A15" s="3" t="s">
        <v>13</v>
      </c>
      <c r="F15" s="5">
        <v>0.3</v>
      </c>
    </row>
    <row r="16" spans="1:6" ht="12.75">
      <c r="A16" s="3" t="s">
        <v>14</v>
      </c>
      <c r="F16" s="7">
        <v>1.3</v>
      </c>
    </row>
    <row r="17" spans="1:6" ht="12.75">
      <c r="A17" s="3" t="s">
        <v>15</v>
      </c>
      <c r="F17" s="7">
        <v>0.5</v>
      </c>
    </row>
    <row r="18" spans="1:6" ht="12.75">
      <c r="A18" s="3" t="s">
        <v>16</v>
      </c>
      <c r="F18" s="2">
        <v>2000</v>
      </c>
    </row>
    <row r="19" spans="1:6" ht="12.75">
      <c r="A19" s="3" t="s">
        <v>17</v>
      </c>
      <c r="F19" s="7">
        <v>90</v>
      </c>
    </row>
    <row r="20" spans="1:6" ht="12.75">
      <c r="A20" s="3" t="s">
        <v>18</v>
      </c>
      <c r="F20" s="7">
        <v>40</v>
      </c>
    </row>
    <row r="22" ht="12.75">
      <c r="H22" s="3" t="s">
        <v>19</v>
      </c>
    </row>
    <row r="23" spans="6:11" ht="12.75">
      <c r="F23" s="2">
        <v>0</v>
      </c>
      <c r="G23" s="2">
        <v>1</v>
      </c>
      <c r="H23" s="2">
        <v>2</v>
      </c>
      <c r="I23" s="2">
        <v>3</v>
      </c>
      <c r="J23" s="2">
        <v>4</v>
      </c>
      <c r="K23" s="2">
        <v>5</v>
      </c>
    </row>
    <row r="24" spans="1:11" ht="12.75">
      <c r="A24" s="3" t="s">
        <v>20</v>
      </c>
      <c r="C24" s="4"/>
      <c r="F24" s="8">
        <v>1</v>
      </c>
      <c r="G24" s="8">
        <v>0.7</v>
      </c>
      <c r="H24" s="8">
        <v>0.5</v>
      </c>
      <c r="I24" s="8">
        <v>0.35</v>
      </c>
      <c r="J24" s="8">
        <v>0.25</v>
      </c>
      <c r="K24" s="8">
        <v>0.2</v>
      </c>
    </row>
    <row r="25" spans="1:11" ht="12.75">
      <c r="A25" s="3" t="s">
        <v>21</v>
      </c>
      <c r="C25" s="4"/>
      <c r="G25" s="8">
        <v>3</v>
      </c>
      <c r="H25" s="8">
        <v>3.2</v>
      </c>
      <c r="I25" s="8">
        <v>3.4</v>
      </c>
      <c r="J25" s="8">
        <v>3.7</v>
      </c>
      <c r="K25" s="8">
        <v>4</v>
      </c>
    </row>
    <row r="26" spans="1:11" ht="12.75">
      <c r="A26" s="3" t="s">
        <v>22</v>
      </c>
      <c r="C26" s="4"/>
      <c r="G26" s="8">
        <v>0</v>
      </c>
      <c r="H26" s="8">
        <v>0.01</v>
      </c>
      <c r="I26" s="8">
        <v>0.03</v>
      </c>
      <c r="J26" s="8">
        <v>0.06</v>
      </c>
      <c r="K26" s="8">
        <v>0.1</v>
      </c>
    </row>
    <row r="27" spans="1:11" ht="12.75">
      <c r="A27" s="3" t="s">
        <v>23</v>
      </c>
      <c r="C27" s="4"/>
      <c r="G27" s="8">
        <v>0</v>
      </c>
      <c r="H27" s="8">
        <v>0</v>
      </c>
      <c r="I27" s="8">
        <v>0.08</v>
      </c>
      <c r="J27" s="8">
        <v>0.08</v>
      </c>
      <c r="K27" s="8">
        <v>0.08</v>
      </c>
    </row>
    <row r="28" spans="1:11" ht="12.75">
      <c r="A28" s="3" t="s">
        <v>24</v>
      </c>
      <c r="C28" s="4"/>
      <c r="F28" s="8">
        <v>1</v>
      </c>
      <c r="G28" s="8">
        <v>1</v>
      </c>
      <c r="H28" s="8">
        <v>1</v>
      </c>
      <c r="I28" s="8">
        <v>1.05</v>
      </c>
      <c r="J28" s="8">
        <v>1.05</v>
      </c>
      <c r="K28" s="8">
        <v>1.05</v>
      </c>
    </row>
    <row r="29" spans="1:11" ht="12.75">
      <c r="A29" s="3" t="s">
        <v>25</v>
      </c>
      <c r="C29" s="4"/>
      <c r="G29" s="7">
        <v>3</v>
      </c>
      <c r="H29" s="7">
        <v>4</v>
      </c>
      <c r="I29" s="7">
        <v>5</v>
      </c>
      <c r="J29" s="7">
        <v>6.2</v>
      </c>
      <c r="K29" s="7">
        <v>7.5</v>
      </c>
    </row>
    <row r="30" spans="1:11" ht="12.75">
      <c r="A30" s="3" t="s">
        <v>26</v>
      </c>
      <c r="C30" s="4"/>
      <c r="G30" s="8">
        <v>0.02</v>
      </c>
      <c r="H30" s="8">
        <v>0.02</v>
      </c>
      <c r="I30" s="8">
        <v>0.03</v>
      </c>
      <c r="J30" s="8">
        <v>0.05</v>
      </c>
      <c r="K30" s="8">
        <v>0.08</v>
      </c>
    </row>
    <row r="32" spans="1:11" ht="12.75">
      <c r="A32" s="3" t="s">
        <v>4</v>
      </c>
      <c r="F32" s="2">
        <v>0</v>
      </c>
      <c r="G32" s="2">
        <v>1</v>
      </c>
      <c r="H32" s="2">
        <v>2</v>
      </c>
      <c r="I32" s="2">
        <v>3</v>
      </c>
      <c r="J32" s="2">
        <v>4</v>
      </c>
      <c r="K32" s="2">
        <v>5</v>
      </c>
    </row>
    <row r="33" spans="1:11" ht="12.75">
      <c r="A33" s="3" t="s">
        <v>27</v>
      </c>
      <c r="F33" s="4">
        <f aca="true" t="shared" si="0" ref="F33:K33">$F$9*F24</f>
        <v>100000</v>
      </c>
      <c r="G33" s="4">
        <f t="shared" si="0"/>
        <v>70000</v>
      </c>
      <c r="H33" s="4">
        <f t="shared" si="0"/>
        <v>50000</v>
      </c>
      <c r="I33" s="4">
        <f t="shared" si="0"/>
        <v>35000</v>
      </c>
      <c r="J33" s="4">
        <f t="shared" si="0"/>
        <v>25000</v>
      </c>
      <c r="K33" s="4">
        <f t="shared" si="0"/>
        <v>20000</v>
      </c>
    </row>
    <row r="34" spans="1:12" ht="12.75">
      <c r="A34" s="3" t="s">
        <v>28</v>
      </c>
      <c r="G34" s="4">
        <f>F33</f>
        <v>100000</v>
      </c>
      <c r="H34" s="4">
        <f>$F$9*G24</f>
        <v>70000</v>
      </c>
      <c r="I34" s="4">
        <f>$F$9*H24</f>
        <v>50000</v>
      </c>
      <c r="J34" s="4">
        <f>$F$9*I24</f>
        <v>35000</v>
      </c>
      <c r="K34" s="4">
        <f>$F$9*J24</f>
        <v>25000</v>
      </c>
      <c r="L34" s="4">
        <f>$F$9*K24</f>
        <v>20000</v>
      </c>
    </row>
    <row r="35" spans="1:12" ht="12.75">
      <c r="A35" s="3" t="s">
        <v>29</v>
      </c>
      <c r="G35" s="4">
        <f>G34-G33</f>
        <v>30000</v>
      </c>
      <c r="H35" s="4">
        <f>H34-H33</f>
        <v>20000</v>
      </c>
      <c r="I35" s="4">
        <f>I34-I33</f>
        <v>15000</v>
      </c>
      <c r="J35" s="4">
        <f>J34-J33</f>
        <v>10000</v>
      </c>
      <c r="K35" s="4">
        <f>K34-K33</f>
        <v>5000</v>
      </c>
      <c r="L35" s="4"/>
    </row>
    <row r="36" spans="1:12" ht="12.75">
      <c r="A36" s="3" t="s">
        <v>30</v>
      </c>
      <c r="G36" s="4">
        <f>(G33+G34)/2</f>
        <v>85000</v>
      </c>
      <c r="H36" s="4">
        <f>(H33+H34)/2</f>
        <v>60000</v>
      </c>
      <c r="I36" s="4">
        <f>(I33+I34)/2</f>
        <v>42500</v>
      </c>
      <c r="J36" s="4">
        <f>(J33+J34)/2</f>
        <v>30000</v>
      </c>
      <c r="K36" s="4">
        <f>(K33+K34)/2</f>
        <v>22500</v>
      </c>
      <c r="L36" s="4"/>
    </row>
    <row r="37" spans="1:11" ht="12.75">
      <c r="A37" s="3" t="s">
        <v>31</v>
      </c>
      <c r="G37" s="4">
        <f>$F$11*G34</f>
        <v>6000</v>
      </c>
      <c r="H37" s="4">
        <f>$F$11*H34</f>
        <v>4200</v>
      </c>
      <c r="I37" s="4">
        <f>$F$11*I34</f>
        <v>3000</v>
      </c>
      <c r="J37" s="4">
        <f>$F$11*J34</f>
        <v>2100</v>
      </c>
      <c r="K37" s="4">
        <f>$F$11*K34</f>
        <v>1500</v>
      </c>
    </row>
    <row r="38" spans="1:11" ht="12.75">
      <c r="A38" s="3" t="s">
        <v>32</v>
      </c>
      <c r="G38" s="4">
        <f>$F$12*G35</f>
        <v>10500</v>
      </c>
      <c r="H38" s="4">
        <f>$F$12*H35</f>
        <v>7000</v>
      </c>
      <c r="I38" s="4">
        <f>$F$12*I35</f>
        <v>5250</v>
      </c>
      <c r="J38" s="4">
        <f>$F$12*J35</f>
        <v>3500</v>
      </c>
      <c r="K38" s="4">
        <f>$F$12*K35</f>
        <v>1750</v>
      </c>
    </row>
    <row r="39" spans="1:11" ht="12.75">
      <c r="A39" s="3" t="s">
        <v>33</v>
      </c>
      <c r="G39" s="4">
        <f>($F$13/$F$14)*(1+$F$15)*$F$18</f>
        <v>7800.000000000001</v>
      </c>
      <c r="H39" s="4">
        <f>($F$13/$F$14)*(1+$F$15)*$F$18</f>
        <v>7800.000000000001</v>
      </c>
      <c r="I39" s="4">
        <f>($F$13/$F$14)*(1+$F$15)*$F$18</f>
        <v>7800.000000000001</v>
      </c>
      <c r="J39" s="4">
        <f>($F$13/$F$14)*(1+$F$15)*$F$18</f>
        <v>7800.000000000001</v>
      </c>
      <c r="K39" s="4">
        <f>($F$13/$F$14)*(1+$F$15)*$F$18</f>
        <v>7800.000000000001</v>
      </c>
    </row>
    <row r="40" spans="1:11" ht="12.75">
      <c r="A40" s="3" t="s">
        <v>34</v>
      </c>
      <c r="G40" s="4">
        <f>$F$16*G$25*$F$18</f>
        <v>7800.000000000001</v>
      </c>
      <c r="H40" s="4">
        <f>$F$16*H$25*$F$18</f>
        <v>8320</v>
      </c>
      <c r="I40" s="4">
        <f>$F$16*I$25*$F$18</f>
        <v>8840</v>
      </c>
      <c r="J40" s="4">
        <f>$F$16*J$25*$F$18</f>
        <v>9620.000000000002</v>
      </c>
      <c r="K40" s="4">
        <f>$F$16*K$25*$F$18</f>
        <v>10400</v>
      </c>
    </row>
    <row r="41" spans="1:11" ht="12.75">
      <c r="A41" s="3" t="s">
        <v>35</v>
      </c>
      <c r="G41" s="4">
        <f>$F$17*$F$18</f>
        <v>1000</v>
      </c>
      <c r="H41" s="4">
        <f>$F$17*$F$18</f>
        <v>1000</v>
      </c>
      <c r="I41" s="4">
        <f>$F$17*$F$18</f>
        <v>1000</v>
      </c>
      <c r="J41" s="4">
        <f>$F$17*$F$18</f>
        <v>1000</v>
      </c>
      <c r="K41" s="4">
        <f>$F$17*$F$18</f>
        <v>1000</v>
      </c>
    </row>
    <row r="42" spans="1:11" ht="12.75">
      <c r="A42" s="3" t="s">
        <v>36</v>
      </c>
      <c r="G42" s="4">
        <f>$F$18*G$29</f>
        <v>6000</v>
      </c>
      <c r="H42" s="4">
        <f>$F$18*H$29</f>
        <v>8000</v>
      </c>
      <c r="I42" s="4">
        <f>$F$18*I$29</f>
        <v>10000</v>
      </c>
      <c r="J42" s="4">
        <f>$F$18*J$29</f>
        <v>12400</v>
      </c>
      <c r="K42" s="4">
        <f>$F$18*K$29</f>
        <v>15000</v>
      </c>
    </row>
    <row r="43" spans="1:11" ht="12.75">
      <c r="A43" s="3" t="s">
        <v>37</v>
      </c>
      <c r="C43" s="4"/>
      <c r="F43" s="4"/>
      <c r="G43" s="4">
        <f>G$30*$F$20*$F$18</f>
        <v>1600</v>
      </c>
      <c r="H43" s="4">
        <f>H$30*$F$20*$F$18</f>
        <v>1600</v>
      </c>
      <c r="I43" s="4">
        <f>I$30*$F$20*$F$18</f>
        <v>2400</v>
      </c>
      <c r="J43" s="4">
        <f>J$30*$F$20*$F$18</f>
        <v>4000</v>
      </c>
      <c r="K43" s="4">
        <f>K$30*$F$20*$F$18</f>
        <v>6400</v>
      </c>
    </row>
    <row r="44" spans="1:11" ht="12.75">
      <c r="A44" s="3" t="s">
        <v>38</v>
      </c>
      <c r="C44" s="4"/>
      <c r="F44" s="4"/>
      <c r="G44" s="4"/>
      <c r="H44" s="4"/>
      <c r="I44" s="4"/>
      <c r="J44" s="4"/>
      <c r="K44" s="4"/>
    </row>
    <row r="45" spans="7:11" ht="12.75">
      <c r="G45" s="4">
        <f>((1+G$26)*(1+G$27)-1)*($F$18*$F$19+SUM(G39:G43))</f>
        <v>0</v>
      </c>
      <c r="H45" s="4">
        <f>((1+H$26)*(1+H$27)-1)*($F$18*$F$19+SUM(H39:H43))</f>
        <v>2067.2000000000016</v>
      </c>
      <c r="I45" s="4">
        <f>((1+I$26)*(1+I$27)-1)*($F$18*$F$19+SUM(I39:I43))</f>
        <v>23608.49600000001</v>
      </c>
      <c r="J45" s="4">
        <f>((1+J$26)*(1+J$27)-1)*($F$18*$F$19+SUM(J39:J43))</f>
        <v>31105.93600000001</v>
      </c>
      <c r="K45" s="4">
        <f>((1+K$26)*(1+K$27)-1)*($F$18*$F$19+SUM(K39:K43))</f>
        <v>41472.80000000004</v>
      </c>
    </row>
    <row r="46" spans="1:11" ht="12.75">
      <c r="A46" s="3" t="s">
        <v>39</v>
      </c>
      <c r="G46" s="4">
        <f>$F$9*(G28-1)</f>
        <v>0</v>
      </c>
      <c r="H46" s="4">
        <f>$F$9*(H28-1)</f>
        <v>0</v>
      </c>
      <c r="I46" s="4">
        <f>$F$9*(I28-1)</f>
        <v>5000.000000000005</v>
      </c>
      <c r="J46" s="4">
        <f>$F$9*(J28-1)</f>
        <v>5000.000000000005</v>
      </c>
      <c r="K46" s="4">
        <f>$F$9*(K28-1)</f>
        <v>5000.000000000005</v>
      </c>
    </row>
    <row r="47" spans="1:11" ht="12.75">
      <c r="A47" s="3" t="s">
        <v>40</v>
      </c>
      <c r="F47" s="9">
        <f aca="true" t="shared" si="1" ref="F47:K47">1/((1+$F$10)^F$23)</f>
        <v>1</v>
      </c>
      <c r="G47" s="2">
        <f t="shared" si="1"/>
        <v>0.8333333333333334</v>
      </c>
      <c r="H47" s="2">
        <f t="shared" si="1"/>
        <v>0.6944444444444444</v>
      </c>
      <c r="I47" s="2">
        <f t="shared" si="1"/>
        <v>0.5787037037037037</v>
      </c>
      <c r="J47" s="2">
        <f t="shared" si="1"/>
        <v>0.4822530864197531</v>
      </c>
      <c r="K47" s="2">
        <f t="shared" si="1"/>
        <v>0.4018775720164609</v>
      </c>
    </row>
    <row r="48" spans="1:11" ht="12.75">
      <c r="A48" s="3" t="s">
        <v>41</v>
      </c>
      <c r="G48" s="2">
        <f>$F$10/(((1+$F$10)^G$23)*LN(1+$F$10))</f>
        <v>0.9141358246245131</v>
      </c>
      <c r="H48" s="2">
        <f>$F$10/(((1+$F$10)^H$23)*LN(1+$F$10))</f>
        <v>0.7617798538537609</v>
      </c>
      <c r="I48" s="2">
        <f>$F$10/(((1+$F$10)^I$23)*LN(1+$F$10))</f>
        <v>0.6348165448781341</v>
      </c>
      <c r="J48" s="2">
        <f>$F$10/(((1+$F$10)^J$23)*LN(1+$F$10))</f>
        <v>0.5290137873984451</v>
      </c>
      <c r="K48" s="2">
        <f>$F$10/(((1+$F$10)^K$23)*LN(1+$F$10))</f>
        <v>0.4408448228320376</v>
      </c>
    </row>
    <row r="49" spans="1:11" ht="12.75">
      <c r="A49" s="3" t="s">
        <v>42</v>
      </c>
      <c r="G49" s="2">
        <f>(((1+$F$10)^G$23)*LN(1+$F$10))/((1+$F$10)^G23-1)</f>
        <v>1.0939293407637278</v>
      </c>
      <c r="H49" s="2">
        <f>(((1+$F$10)^H$23)*LN(1+$F$10))/((1+$F$10)^H23-1)</f>
        <v>0.5966887313256697</v>
      </c>
      <c r="I49" s="2">
        <f>(((1+$F$10)^I$23)*LN(1+$F$10))/((1+$F$10)^I23-1)</f>
        <v>0.43276325568674934</v>
      </c>
      <c r="J49" s="2">
        <f>(((1+$F$10)^J$23)*LN(1+$F$10))/((1+$F$10)^J23-1)</f>
        <v>0.3521441693069526</v>
      </c>
      <c r="K49" s="2">
        <f>(((1+$F$10)^K$23)*LN(1+$F$10))/((1+$F$10)^K23-1)</f>
        <v>0.30482314032031627</v>
      </c>
    </row>
    <row r="51" spans="1:10" ht="12.75">
      <c r="A51" s="3" t="s">
        <v>5</v>
      </c>
      <c r="E51" s="3" t="s">
        <v>19</v>
      </c>
      <c r="J51" s="3" t="s">
        <v>43</v>
      </c>
    </row>
    <row r="52" spans="2:12" ht="12.75">
      <c r="B52" s="2">
        <v>0</v>
      </c>
      <c r="C52" s="2">
        <v>1</v>
      </c>
      <c r="D52" s="2">
        <v>2</v>
      </c>
      <c r="E52" s="2">
        <v>3</v>
      </c>
      <c r="F52" s="2">
        <v>4</v>
      </c>
      <c r="G52" s="2">
        <v>5</v>
      </c>
      <c r="H52" s="2">
        <v>1</v>
      </c>
      <c r="I52" s="2">
        <v>2</v>
      </c>
      <c r="J52" s="2">
        <v>3</v>
      </c>
      <c r="K52" s="2">
        <v>4</v>
      </c>
      <c r="L52" s="2">
        <v>5</v>
      </c>
    </row>
    <row r="53" spans="1:10" ht="12.75">
      <c r="A53" s="3" t="s">
        <v>44</v>
      </c>
      <c r="E53" s="1" t="s">
        <v>45</v>
      </c>
      <c r="H53" s="7"/>
      <c r="J53" s="1" t="s">
        <v>46</v>
      </c>
    </row>
    <row r="54" spans="1:12" ht="12.75">
      <c r="A54" s="3" t="s">
        <v>7</v>
      </c>
      <c r="C54" s="4">
        <f>$F$9</f>
        <v>100000</v>
      </c>
      <c r="D54" s="4"/>
      <c r="E54" s="4"/>
      <c r="F54" s="4"/>
      <c r="G54" s="4"/>
      <c r="H54" s="7">
        <f>C54*G$49/$F$18</f>
        <v>54.69646703818639</v>
      </c>
      <c r="I54" s="7">
        <f aca="true" t="shared" si="2" ref="I54:L56">(H54/G$49+D54*G$47/$F$18)*H$49</f>
        <v>29.834436566283486</v>
      </c>
      <c r="J54" s="7">
        <f t="shared" si="2"/>
        <v>21.638162784337467</v>
      </c>
      <c r="K54" s="7">
        <f t="shared" si="2"/>
        <v>17.60720846534763</v>
      </c>
      <c r="L54" s="7">
        <f t="shared" si="2"/>
        <v>15.241157016015814</v>
      </c>
    </row>
    <row r="55" spans="1:12" ht="12.75">
      <c r="A55" s="3" t="s">
        <v>47</v>
      </c>
      <c r="C55" s="4">
        <f>G$37</f>
        <v>6000</v>
      </c>
      <c r="D55" s="4">
        <f>H$37</f>
        <v>4200</v>
      </c>
      <c r="E55" s="4">
        <f>I$37</f>
        <v>3000</v>
      </c>
      <c r="F55" s="4">
        <f>J$37</f>
        <v>2100</v>
      </c>
      <c r="G55" s="4">
        <f>K$37</f>
        <v>1500</v>
      </c>
      <c r="H55" s="7">
        <f>C55*G$49/$F$18</f>
        <v>3.2817880222911837</v>
      </c>
      <c r="I55" s="7">
        <f t="shared" si="2"/>
        <v>2.834271473796931</v>
      </c>
      <c r="J55" s="7">
        <f t="shared" si="2"/>
        <v>2.50642052251909</v>
      </c>
      <c r="K55" s="7">
        <f t="shared" si="2"/>
        <v>2.253478139002478</v>
      </c>
      <c r="L55" s="7">
        <f t="shared" si="2"/>
        <v>2.060907840487416</v>
      </c>
    </row>
    <row r="56" spans="1:12" ht="12.75">
      <c r="A56" s="3" t="s">
        <v>48</v>
      </c>
      <c r="C56" s="4">
        <f>G$39</f>
        <v>7800.000000000001</v>
      </c>
      <c r="D56" s="4">
        <f>H$39</f>
        <v>7800.000000000001</v>
      </c>
      <c r="E56" s="4">
        <f>I$39</f>
        <v>7800.000000000001</v>
      </c>
      <c r="F56" s="4">
        <f>J$39</f>
        <v>7800.000000000001</v>
      </c>
      <c r="G56" s="4">
        <f>K$39</f>
        <v>7800.000000000001</v>
      </c>
      <c r="H56" s="7">
        <f>C56*G$49/$F$18</f>
        <v>4.266324428978539</v>
      </c>
      <c r="I56" s="7">
        <f t="shared" si="2"/>
        <v>4.266324428978538</v>
      </c>
      <c r="J56" s="7">
        <f t="shared" si="2"/>
        <v>4.266324428978537</v>
      </c>
      <c r="K56" s="7">
        <f t="shared" si="2"/>
        <v>4.266324428978538</v>
      </c>
      <c r="L56" s="7">
        <f t="shared" si="2"/>
        <v>4.266324428978538</v>
      </c>
    </row>
    <row r="57" spans="3:12" ht="12.75">
      <c r="C57" s="10" t="s">
        <v>49</v>
      </c>
      <c r="D57" s="10" t="s">
        <v>49</v>
      </c>
      <c r="E57" s="10" t="s">
        <v>49</v>
      </c>
      <c r="F57" s="10" t="s">
        <v>49</v>
      </c>
      <c r="G57" s="10" t="s">
        <v>49</v>
      </c>
      <c r="H57" s="11" t="s">
        <v>49</v>
      </c>
      <c r="I57" s="11" t="s">
        <v>49</v>
      </c>
      <c r="J57" s="11" t="s">
        <v>49</v>
      </c>
      <c r="K57" s="11" t="s">
        <v>49</v>
      </c>
      <c r="L57" s="11" t="s">
        <v>49</v>
      </c>
    </row>
    <row r="58" spans="1:12" ht="12.75">
      <c r="A58" s="3" t="s">
        <v>50</v>
      </c>
      <c r="C58" s="4">
        <f aca="true" t="shared" si="3" ref="C58:L58">SUM(C54:C57)</f>
        <v>113800</v>
      </c>
      <c r="D58" s="4">
        <f t="shared" si="3"/>
        <v>12000</v>
      </c>
      <c r="E58" s="4">
        <f t="shared" si="3"/>
        <v>10800</v>
      </c>
      <c r="F58" s="4">
        <f t="shared" si="3"/>
        <v>9900</v>
      </c>
      <c r="G58" s="4">
        <f t="shared" si="3"/>
        <v>9300</v>
      </c>
      <c r="H58" s="7">
        <f t="shared" si="3"/>
        <v>62.244579489456115</v>
      </c>
      <c r="I58" s="7">
        <f t="shared" si="3"/>
        <v>36.93503246905895</v>
      </c>
      <c r="J58" s="7">
        <f t="shared" si="3"/>
        <v>28.410907735835096</v>
      </c>
      <c r="K58" s="7">
        <f t="shared" si="3"/>
        <v>24.127011033328646</v>
      </c>
      <c r="L58" s="7">
        <f t="shared" si="3"/>
        <v>21.568389285481768</v>
      </c>
    </row>
    <row r="59" spans="1:12" ht="12.75">
      <c r="A59" s="3" t="s">
        <v>51</v>
      </c>
      <c r="C59" s="4">
        <f>B59+C58*F$47</f>
        <v>113800</v>
      </c>
      <c r="D59" s="4">
        <f>C59+D58*G$47</f>
        <v>123800</v>
      </c>
      <c r="E59" s="4">
        <f>D59+E58*H$47</f>
        <v>131300</v>
      </c>
      <c r="F59" s="4">
        <f>E59+F58*I$47</f>
        <v>137029.16666666666</v>
      </c>
      <c r="G59" s="4">
        <f>F59+G58*J$47</f>
        <v>141514.12037037036</v>
      </c>
      <c r="H59" s="7"/>
      <c r="I59" s="7"/>
      <c r="J59" s="7"/>
      <c r="K59" s="7"/>
      <c r="L59" s="7"/>
    </row>
    <row r="60" spans="1:12" ht="12.75">
      <c r="A60" s="3" t="s">
        <v>52</v>
      </c>
      <c r="H60" s="7"/>
      <c r="I60" s="7"/>
      <c r="J60" s="7"/>
      <c r="K60" s="7"/>
      <c r="L60" s="7"/>
    </row>
    <row r="61" spans="1:12" ht="12.75">
      <c r="A61" s="3" t="s">
        <v>53</v>
      </c>
      <c r="H61" s="7"/>
      <c r="I61" s="7"/>
      <c r="J61" s="7"/>
      <c r="K61" s="7"/>
      <c r="L61" s="7"/>
    </row>
    <row r="62" spans="1:12" ht="12.75">
      <c r="A62" s="3" t="s">
        <v>54</v>
      </c>
      <c r="B62" s="4"/>
      <c r="C62" s="4">
        <f>-G$38</f>
        <v>-10500</v>
      </c>
      <c r="D62" s="4">
        <f>-H$38</f>
        <v>-7000</v>
      </c>
      <c r="E62" s="4">
        <f>-I$38</f>
        <v>-5250</v>
      </c>
      <c r="F62" s="4">
        <f>-J$38</f>
        <v>-3500</v>
      </c>
      <c r="G62" s="4">
        <f>-K$38</f>
        <v>-1750</v>
      </c>
      <c r="H62" s="7">
        <f>(B62+C62*G$47)*G$49/$F$18</f>
        <v>-4.78594086584131</v>
      </c>
      <c r="I62" s="7">
        <f>(H62/G$49+D62*H$47/$F$18)*H$49</f>
        <v>-4.060798310410808</v>
      </c>
      <c r="J62" s="7">
        <f>(I62/H$49+E62*I$47/$F$18)*I$49</f>
        <v>-3.6026038385728527</v>
      </c>
      <c r="K62" s="7">
        <f>(J62/I$49+F62*J$47/$F$18)*J$49</f>
        <v>-3.2286675090971175</v>
      </c>
      <c r="L62" s="7">
        <f>(K62/J$49+G62*K$47/$F$18)*K$49</f>
        <v>-2.9019890127893926</v>
      </c>
    </row>
    <row r="63" spans="2:12" ht="12.75">
      <c r="B63" s="10" t="s">
        <v>49</v>
      </c>
      <c r="C63" s="10" t="s">
        <v>49</v>
      </c>
      <c r="D63" s="10" t="s">
        <v>49</v>
      </c>
      <c r="E63" s="10" t="s">
        <v>49</v>
      </c>
      <c r="F63" s="10" t="s">
        <v>49</v>
      </c>
      <c r="G63" s="10" t="s">
        <v>49</v>
      </c>
      <c r="H63" s="11" t="s">
        <v>49</v>
      </c>
      <c r="I63" s="11" t="s">
        <v>49</v>
      </c>
      <c r="J63" s="11" t="s">
        <v>49</v>
      </c>
      <c r="K63" s="11" t="s">
        <v>49</v>
      </c>
      <c r="L63" s="11" t="s">
        <v>49</v>
      </c>
    </row>
    <row r="64" spans="1:12" ht="12.75">
      <c r="A64" s="3" t="s">
        <v>55</v>
      </c>
      <c r="B64" s="4"/>
      <c r="C64" s="4">
        <f aca="true" t="shared" si="4" ref="C64:L64">SUM(C62:C63)</f>
        <v>-10500</v>
      </c>
      <c r="D64" s="4">
        <f t="shared" si="4"/>
        <v>-7000</v>
      </c>
      <c r="E64" s="4">
        <f t="shared" si="4"/>
        <v>-5250</v>
      </c>
      <c r="F64" s="4">
        <f t="shared" si="4"/>
        <v>-3500</v>
      </c>
      <c r="G64" s="4">
        <f t="shared" si="4"/>
        <v>-1750</v>
      </c>
      <c r="H64" s="7">
        <f t="shared" si="4"/>
        <v>-4.78594086584131</v>
      </c>
      <c r="I64" s="7">
        <f t="shared" si="4"/>
        <v>-4.060798310410808</v>
      </c>
      <c r="J64" s="7">
        <f t="shared" si="4"/>
        <v>-3.6026038385728527</v>
      </c>
      <c r="K64" s="7">
        <f t="shared" si="4"/>
        <v>-3.2286675090971175</v>
      </c>
      <c r="L64" s="7">
        <f t="shared" si="4"/>
        <v>-2.9019890127893926</v>
      </c>
    </row>
    <row r="65" spans="1:12" ht="12.75">
      <c r="A65" s="3" t="s">
        <v>51</v>
      </c>
      <c r="B65" s="4"/>
      <c r="C65" s="4">
        <f>B65+C64*G$47</f>
        <v>-8750</v>
      </c>
      <c r="D65" s="4">
        <f>C65+D64*H$47</f>
        <v>-13611.111111111111</v>
      </c>
      <c r="E65" s="4">
        <f>D65+E64*I$47</f>
        <v>-16649.305555555555</v>
      </c>
      <c r="F65" s="4">
        <f>E65+F64*J$47</f>
        <v>-18337.19135802469</v>
      </c>
      <c r="G65" s="4">
        <f>F65+G64*K$47</f>
        <v>-19040.477109053496</v>
      </c>
      <c r="H65" s="7"/>
      <c r="I65" s="7"/>
      <c r="J65" s="7"/>
      <c r="K65" s="7"/>
      <c r="L65" s="7"/>
    </row>
    <row r="66" spans="1:12" ht="12.75">
      <c r="A66" s="3" t="s">
        <v>56</v>
      </c>
      <c r="H66" s="7"/>
      <c r="I66" s="7"/>
      <c r="J66" s="7"/>
      <c r="K66" s="7"/>
      <c r="L66" s="7"/>
    </row>
    <row r="67" spans="1:12" ht="12.75">
      <c r="A67" s="3" t="s">
        <v>57</v>
      </c>
      <c r="B67" s="4"/>
      <c r="C67" s="4"/>
      <c r="D67" s="4"/>
      <c r="E67" s="4"/>
      <c r="F67" s="4"/>
      <c r="G67" s="4"/>
      <c r="H67" s="7"/>
      <c r="I67" s="7"/>
      <c r="J67" s="7"/>
      <c r="K67" s="7"/>
      <c r="L67" s="7"/>
    </row>
    <row r="68" spans="1:12" ht="12.75">
      <c r="A68" s="3" t="s">
        <v>58</v>
      </c>
      <c r="B68" s="4"/>
      <c r="C68" s="4">
        <f>G$40</f>
        <v>7800.000000000001</v>
      </c>
      <c r="D68" s="4">
        <f>H$40</f>
        <v>8320</v>
      </c>
      <c r="E68" s="4">
        <f>I$40</f>
        <v>8840</v>
      </c>
      <c r="F68" s="4">
        <f>J$40</f>
        <v>9620.000000000002</v>
      </c>
      <c r="G68" s="4">
        <f>K$40</f>
        <v>10400</v>
      </c>
      <c r="H68" s="7">
        <f>(+C68*G$48/$F$18)*G$49</f>
        <v>3.900000000000002</v>
      </c>
      <c r="I68" s="7">
        <f aca="true" t="shared" si="5" ref="I68:L72">(H68/G$49+D68*H$48/$F$18)*H$49</f>
        <v>4.018181818181819</v>
      </c>
      <c r="J68" s="7">
        <f t="shared" si="5"/>
        <v>4.128571428571429</v>
      </c>
      <c r="K68" s="7">
        <f t="shared" si="5"/>
        <v>4.255514157973176</v>
      </c>
      <c r="L68" s="7">
        <f t="shared" si="5"/>
        <v>4.382433885185982</v>
      </c>
    </row>
    <row r="69" spans="1:12" ht="12.75">
      <c r="A69" s="3" t="s">
        <v>59</v>
      </c>
      <c r="B69" s="4"/>
      <c r="C69" s="4">
        <f>G$41</f>
        <v>1000</v>
      </c>
      <c r="D69" s="4">
        <f>H$41</f>
        <v>1000</v>
      </c>
      <c r="E69" s="4">
        <f>I$41</f>
        <v>1000</v>
      </c>
      <c r="F69" s="4">
        <f>J$41</f>
        <v>1000</v>
      </c>
      <c r="G69" s="4">
        <f>K$41</f>
        <v>1000</v>
      </c>
      <c r="H69" s="7">
        <f>(+C69*G$48/$F$18)*G$49</f>
        <v>0.5000000000000002</v>
      </c>
      <c r="I69" s="7">
        <f t="shared" si="5"/>
        <v>0.5000000000000001</v>
      </c>
      <c r="J69" s="7">
        <f t="shared" si="5"/>
        <v>0.5</v>
      </c>
      <c r="K69" s="7">
        <f t="shared" si="5"/>
        <v>0.5000000000000001</v>
      </c>
      <c r="L69" s="7">
        <f t="shared" si="5"/>
        <v>0.5</v>
      </c>
    </row>
    <row r="70" spans="1:12" ht="12.75">
      <c r="A70" s="3" t="s">
        <v>60</v>
      </c>
      <c r="B70" s="4"/>
      <c r="C70" s="4">
        <f>G$42</f>
        <v>6000</v>
      </c>
      <c r="D70" s="4">
        <f>H$42</f>
        <v>8000</v>
      </c>
      <c r="E70" s="4">
        <f>I$42</f>
        <v>10000</v>
      </c>
      <c r="F70" s="4">
        <f>J$42</f>
        <v>12400</v>
      </c>
      <c r="G70" s="4">
        <f>K$42</f>
        <v>15000</v>
      </c>
      <c r="H70" s="7">
        <f>(+C70*G$48/$F$18)*G$49</f>
        <v>3.0000000000000013</v>
      </c>
      <c r="I70" s="7">
        <f t="shared" si="5"/>
        <v>3.4545454545454555</v>
      </c>
      <c r="J70" s="7">
        <f t="shared" si="5"/>
        <v>3.879120879120879</v>
      </c>
      <c r="K70" s="7">
        <f t="shared" si="5"/>
        <v>4.311475409836066</v>
      </c>
      <c r="L70" s="7">
        <f t="shared" si="5"/>
        <v>4.739948398193937</v>
      </c>
    </row>
    <row r="71" spans="1:12" ht="12.75">
      <c r="A71" s="3" t="s">
        <v>26</v>
      </c>
      <c r="C71" s="4">
        <f>G$43</f>
        <v>1600</v>
      </c>
      <c r="D71" s="4">
        <f>H$43</f>
        <v>1600</v>
      </c>
      <c r="E71" s="4">
        <f>I$43</f>
        <v>2400</v>
      </c>
      <c r="F71" s="4">
        <f>J$43</f>
        <v>4000</v>
      </c>
      <c r="G71" s="4">
        <f>K$43</f>
        <v>6400</v>
      </c>
      <c r="H71" s="7">
        <f>(+C71*G$48/$F$18)*G$49</f>
        <v>0.8000000000000004</v>
      </c>
      <c r="I71" s="7">
        <f t="shared" si="5"/>
        <v>0.8000000000000003</v>
      </c>
      <c r="J71" s="7">
        <f t="shared" si="5"/>
        <v>0.9098901098901099</v>
      </c>
      <c r="K71" s="7">
        <f t="shared" si="5"/>
        <v>1.1129657228017886</v>
      </c>
      <c r="L71" s="7">
        <f t="shared" si="5"/>
        <v>1.3934207697269405</v>
      </c>
    </row>
    <row r="72" spans="1:12" ht="12.75">
      <c r="A72" s="3" t="s">
        <v>61</v>
      </c>
      <c r="C72" s="4">
        <f>G$45</f>
        <v>0</v>
      </c>
      <c r="D72" s="4">
        <f>H$45</f>
        <v>2067.2000000000016</v>
      </c>
      <c r="E72" s="4">
        <f>I$45</f>
        <v>23608.49600000001</v>
      </c>
      <c r="F72" s="4">
        <f>J$45</f>
        <v>31105.93600000001</v>
      </c>
      <c r="G72" s="4">
        <f>K$45</f>
        <v>41472.80000000004</v>
      </c>
      <c r="H72" s="7">
        <f>(+C72*G$48/$F$18)*G$49</f>
        <v>0</v>
      </c>
      <c r="I72" s="7">
        <f t="shared" si="5"/>
        <v>0.46981818181818236</v>
      </c>
      <c r="J72" s="7">
        <f t="shared" si="5"/>
        <v>3.583672527472529</v>
      </c>
      <c r="K72" s="7">
        <f t="shared" si="5"/>
        <v>5.813422056631895</v>
      </c>
      <c r="L72" s="7">
        <f t="shared" si="5"/>
        <v>7.818767404859175</v>
      </c>
    </row>
    <row r="73" spans="2:12" ht="12.75">
      <c r="B73" s="10" t="s">
        <v>49</v>
      </c>
      <c r="C73" s="10" t="s">
        <v>49</v>
      </c>
      <c r="D73" s="10" t="s">
        <v>49</v>
      </c>
      <c r="E73" s="10" t="s">
        <v>49</v>
      </c>
      <c r="F73" s="10" t="s">
        <v>49</v>
      </c>
      <c r="G73" s="10" t="s">
        <v>49</v>
      </c>
      <c r="H73" s="11" t="s">
        <v>49</v>
      </c>
      <c r="I73" s="11" t="s">
        <v>49</v>
      </c>
      <c r="J73" s="11" t="s">
        <v>49</v>
      </c>
      <c r="K73" s="11" t="s">
        <v>49</v>
      </c>
      <c r="L73" s="11" t="s">
        <v>49</v>
      </c>
    </row>
    <row r="74" spans="1:12" ht="12.75">
      <c r="A74" s="3" t="s">
        <v>62</v>
      </c>
      <c r="B74" s="4"/>
      <c r="C74" s="4">
        <f aca="true" t="shared" si="6" ref="C74:L74">SUM(C68:C73)</f>
        <v>16400</v>
      </c>
      <c r="D74" s="4">
        <f t="shared" si="6"/>
        <v>20987.2</v>
      </c>
      <c r="E74" s="4">
        <f t="shared" si="6"/>
        <v>45848.496000000014</v>
      </c>
      <c r="F74" s="4">
        <f t="shared" si="6"/>
        <v>58125.93600000001</v>
      </c>
      <c r="G74" s="4">
        <f t="shared" si="6"/>
        <v>74272.80000000005</v>
      </c>
      <c r="H74" s="7">
        <f t="shared" si="6"/>
        <v>8.200000000000005</v>
      </c>
      <c r="I74" s="7">
        <f t="shared" si="6"/>
        <v>9.242545454545457</v>
      </c>
      <c r="J74" s="7">
        <f t="shared" si="6"/>
        <v>13.001254945054947</v>
      </c>
      <c r="K74" s="7">
        <f t="shared" si="6"/>
        <v>15.993377347242925</v>
      </c>
      <c r="L74" s="7">
        <f t="shared" si="6"/>
        <v>18.834570457966038</v>
      </c>
    </row>
    <row r="75" spans="1:12" ht="12.75">
      <c r="A75" s="3" t="s">
        <v>63</v>
      </c>
      <c r="B75" s="4"/>
      <c r="C75" s="4">
        <f>B75+C74*G$48</f>
        <v>14991.827523842016</v>
      </c>
      <c r="D75" s="4">
        <f>C75+D74*H$48</f>
        <v>30979.453672641666</v>
      </c>
      <c r="E75" s="4">
        <f>D75+E74*I$48</f>
        <v>60084.83749122063</v>
      </c>
      <c r="F75" s="4">
        <f>E75+F74*J$48</f>
        <v>90834.25904066025</v>
      </c>
      <c r="G75" s="4">
        <f>F75+G74*K$48</f>
        <v>123577.03839789964</v>
      </c>
      <c r="H75" s="7"/>
      <c r="I75" s="7"/>
      <c r="J75" s="7"/>
      <c r="K75" s="7"/>
      <c r="L75" s="7"/>
    </row>
    <row r="76" spans="1:12" ht="12.75">
      <c r="A76" s="3" t="s">
        <v>64</v>
      </c>
      <c r="B76" s="4"/>
      <c r="C76" s="4"/>
      <c r="D76" s="4"/>
      <c r="E76" s="4"/>
      <c r="F76" s="4"/>
      <c r="G76" s="4"/>
      <c r="H76" s="7"/>
      <c r="I76" s="7"/>
      <c r="J76" s="7"/>
      <c r="K76" s="7"/>
      <c r="L76" s="7"/>
    </row>
    <row r="77" spans="1:12" ht="12.75">
      <c r="A77" s="3" t="s">
        <v>65</v>
      </c>
      <c r="B77" s="4"/>
      <c r="C77" s="4"/>
      <c r="D77" s="4"/>
      <c r="E77" s="4"/>
      <c r="F77" s="4"/>
      <c r="H77" s="7"/>
      <c r="I77" s="7"/>
      <c r="J77" s="7"/>
      <c r="K77" s="7"/>
      <c r="L77" s="7"/>
    </row>
    <row r="78" spans="1:12" ht="12.75">
      <c r="A78" s="3" t="s">
        <v>66</v>
      </c>
      <c r="B78" s="4"/>
      <c r="C78" s="4">
        <f>-G$33</f>
        <v>-70000</v>
      </c>
      <c r="D78" s="4">
        <f>-H$33</f>
        <v>-50000</v>
      </c>
      <c r="E78" s="4">
        <f>-I$33</f>
        <v>-35000</v>
      </c>
      <c r="F78" s="4">
        <f>-J$33</f>
        <v>-25000</v>
      </c>
      <c r="G78" s="4">
        <f>-K$33</f>
        <v>-20000</v>
      </c>
      <c r="H78" s="7">
        <f aca="true" t="shared" si="7" ref="H78:L79">C78*G$47*G$49/$F$18</f>
        <v>-31.90627243894206</v>
      </c>
      <c r="I78" s="7">
        <f t="shared" si="7"/>
        <v>-10.359179363292874</v>
      </c>
      <c r="J78" s="7">
        <f t="shared" si="7"/>
        <v>-4.382729730623909</v>
      </c>
      <c r="K78" s="7">
        <f t="shared" si="7"/>
        <v>-2.122782656412475</v>
      </c>
      <c r="L78" s="7">
        <f t="shared" si="7"/>
        <v>-1.2250158352636167</v>
      </c>
    </row>
    <row r="79" spans="1:12" ht="12.75">
      <c r="A79" s="3" t="s">
        <v>67</v>
      </c>
      <c r="C79" s="4">
        <f>G$46</f>
        <v>0</v>
      </c>
      <c r="D79" s="4">
        <f>H$46</f>
        <v>0</v>
      </c>
      <c r="E79" s="4">
        <f>I$46</f>
        <v>5000.000000000005</v>
      </c>
      <c r="F79" s="4">
        <f>J$46</f>
        <v>5000.000000000005</v>
      </c>
      <c r="G79" s="4">
        <f>K$46</f>
        <v>5000.000000000005</v>
      </c>
      <c r="H79" s="7">
        <f t="shared" si="7"/>
        <v>0</v>
      </c>
      <c r="I79" s="7">
        <f t="shared" si="7"/>
        <v>0</v>
      </c>
      <c r="J79" s="7">
        <f t="shared" si="7"/>
        <v>0.6261042472319875</v>
      </c>
      <c r="K79" s="7">
        <f t="shared" si="7"/>
        <v>0.4245565312824953</v>
      </c>
      <c r="L79" s="7">
        <f t="shared" si="7"/>
        <v>0.30625395881590445</v>
      </c>
    </row>
    <row r="80" spans="2:12" ht="12.75">
      <c r="B80" s="10" t="s">
        <v>49</v>
      </c>
      <c r="C80" s="10" t="s">
        <v>49</v>
      </c>
      <c r="D80" s="10" t="s">
        <v>49</v>
      </c>
      <c r="E80" s="10" t="s">
        <v>49</v>
      </c>
      <c r="F80" s="10" t="s">
        <v>49</v>
      </c>
      <c r="G80" s="10" t="s">
        <v>49</v>
      </c>
      <c r="H80" s="11" t="s">
        <v>49</v>
      </c>
      <c r="I80" s="11" t="s">
        <v>49</v>
      </c>
      <c r="J80" s="11" t="s">
        <v>49</v>
      </c>
      <c r="K80" s="11" t="s">
        <v>49</v>
      </c>
      <c r="L80" s="11" t="s">
        <v>49</v>
      </c>
    </row>
    <row r="81" spans="1:12" ht="12.75">
      <c r="A81" s="3" t="s">
        <v>68</v>
      </c>
      <c r="C81" s="4">
        <f>(C78+C79)/((1+$F$10)^G$23)</f>
        <v>-58333.333333333336</v>
      </c>
      <c r="D81" s="4">
        <f>(D78+D79)/((1+$F$10)^H$23)</f>
        <v>-34722.222222222226</v>
      </c>
      <c r="E81" s="4">
        <f>(E78+E79)/((1+$F$10)^I$23)</f>
        <v>-17361.11111111111</v>
      </c>
      <c r="F81" s="4">
        <f>(F78+F79)/((1+$F$10)^J$23)</f>
        <v>-9645.06172839506</v>
      </c>
      <c r="G81" s="4">
        <f>(G78+G79)/((1+$F$10)^K$23)</f>
        <v>-6028.163580246913</v>
      </c>
      <c r="H81" s="7">
        <f>SUM(H78:H80)</f>
        <v>-31.90627243894206</v>
      </c>
      <c r="I81" s="7">
        <f>SUM(I78:I80)</f>
        <v>-10.359179363292874</v>
      </c>
      <c r="J81" s="7">
        <f>SUM(J78:J80)</f>
        <v>-3.7566254833919217</v>
      </c>
      <c r="K81" s="7">
        <f>SUM(K78:K80)</f>
        <v>-1.6982261251299797</v>
      </c>
      <c r="L81" s="7">
        <f>SUM(L78:L80)</f>
        <v>-0.9187618764477122</v>
      </c>
    </row>
    <row r="82" spans="8:12" ht="12.75">
      <c r="H82" s="7"/>
      <c r="I82" s="7"/>
      <c r="J82" s="7"/>
      <c r="K82" s="7"/>
      <c r="L82" s="7"/>
    </row>
    <row r="83" spans="1:12" ht="12.75">
      <c r="A83" s="3" t="s">
        <v>69</v>
      </c>
      <c r="C83" s="4">
        <f>C59+C65+C75+C81</f>
        <v>61708.49419050868</v>
      </c>
      <c r="D83" s="4">
        <f>D59+D65+D75+D81</f>
        <v>106446.12033930834</v>
      </c>
      <c r="E83" s="4">
        <f>E59+E65+E75+E81</f>
        <v>157374.42082455393</v>
      </c>
      <c r="F83" s="4">
        <f>F59+F65+F75+F81</f>
        <v>199881.17262090716</v>
      </c>
      <c r="G83" s="4">
        <f>G59+G65+G75+G81</f>
        <v>240022.51807896962</v>
      </c>
      <c r="H83" s="7"/>
      <c r="I83" s="7"/>
      <c r="J83" s="7"/>
      <c r="K83" s="7"/>
      <c r="L83" s="7"/>
    </row>
    <row r="84" spans="1:12" ht="12.75">
      <c r="A84" s="3" t="s">
        <v>70</v>
      </c>
      <c r="C84" s="7">
        <f>C83*((1+$F$10)^C$52)*(LN(1+$F$10)/(((1+$F$10)^C$52)-1))/$F$18</f>
        <v>33.75236618467274</v>
      </c>
      <c r="D84" s="7">
        <f>D83*((1+$F$10)^D$52)*(LN(1+$F$10)/(((1+$F$10)^D$52)-1))/$F$18</f>
        <v>31.757600249900722</v>
      </c>
      <c r="E84" s="7">
        <f>E83*((1+$F$10)^E$52)*(LN(1+$F$10)/(((1+$F$10)^E$52)-1))/$F$18</f>
        <v>34.052933358925266</v>
      </c>
      <c r="F84" s="7">
        <f>F83*((1+$F$10)^F$52)*(LN(1+$F$10)/(((1+$F$10)^F$52)-1))/$F$18</f>
        <v>35.19349474634447</v>
      </c>
      <c r="G84" s="7">
        <f>G83*((1+$F$10)^G$52)*(LN(1+$F$10)/(((1+$F$10)^G$52)-1))/$F$18</f>
        <v>36.5822088542107</v>
      </c>
      <c r="H84" s="7">
        <f>H58+H64+H74+H81</f>
        <v>33.752366184672745</v>
      </c>
      <c r="I84" s="7">
        <f>I58+I64+I74+I81</f>
        <v>31.757600249900726</v>
      </c>
      <c r="J84" s="7">
        <f>J58+J64+J74+J81</f>
        <v>34.052933358925266</v>
      </c>
      <c r="K84" s="7">
        <f>K58+K64+K74+K81</f>
        <v>35.19349474634448</v>
      </c>
      <c r="L84" s="7">
        <f>L58+L64+L74+L81</f>
        <v>36.5822088542107</v>
      </c>
    </row>
    <row r="85" spans="1:12" ht="12.75">
      <c r="A85" s="3" t="s">
        <v>71</v>
      </c>
      <c r="B85" s="7"/>
      <c r="C85" s="2">
        <v>1</v>
      </c>
      <c r="D85" s="2">
        <v>2</v>
      </c>
      <c r="E85" s="2">
        <v>3</v>
      </c>
      <c r="F85" s="2">
        <v>4</v>
      </c>
      <c r="G85" s="2">
        <v>5</v>
      </c>
      <c r="H85" s="12">
        <v>1</v>
      </c>
      <c r="I85" s="12">
        <v>2</v>
      </c>
      <c r="J85" s="12">
        <v>3</v>
      </c>
      <c r="K85" s="12">
        <v>4</v>
      </c>
      <c r="L85" s="12">
        <v>5</v>
      </c>
    </row>
    <row r="86" spans="8:12" ht="12.75">
      <c r="H86" s="7"/>
      <c r="I86" s="7"/>
      <c r="J86" s="7"/>
      <c r="K86" s="7"/>
      <c r="L86" s="7"/>
    </row>
    <row r="87" ht="12.75">
      <c r="C87" s="3" t="s">
        <v>72</v>
      </c>
    </row>
    <row r="88" ht="12.75">
      <c r="C88" s="3" t="s">
        <v>73</v>
      </c>
    </row>
    <row r="89" ht="12.75">
      <c r="C89" s="3" t="s">
        <v>74</v>
      </c>
    </row>
    <row r="90" ht="12.75">
      <c r="C90" s="3" t="s">
        <v>75</v>
      </c>
    </row>
    <row r="91" spans="2:8" ht="12.75">
      <c r="B91" s="3"/>
      <c r="D91" s="3"/>
      <c r="E91" s="3"/>
      <c r="F91" s="3"/>
      <c r="H91" s="3"/>
    </row>
    <row r="92" spans="2:8" ht="12.75">
      <c r="B92" s="3"/>
      <c r="E92" s="3"/>
      <c r="H92" s="3"/>
    </row>
    <row r="93" spans="5:8" ht="12.75">
      <c r="E93" s="3"/>
      <c r="H93" s="3"/>
    </row>
    <row r="95" spans="1:10" ht="12.75">
      <c r="A95" s="3" t="s">
        <v>76</v>
      </c>
      <c r="E95" s="3" t="s">
        <v>19</v>
      </c>
      <c r="J95" s="3" t="s">
        <v>43</v>
      </c>
    </row>
    <row r="96" spans="2:12" ht="12.75">
      <c r="B96" s="2">
        <v>0</v>
      </c>
      <c r="C96" s="2">
        <v>1</v>
      </c>
      <c r="D96" s="2">
        <v>2</v>
      </c>
      <c r="E96" s="2">
        <v>3</v>
      </c>
      <c r="F96" s="2">
        <v>4</v>
      </c>
      <c r="G96" s="2">
        <v>5</v>
      </c>
      <c r="H96" s="2">
        <v>1</v>
      </c>
      <c r="I96" s="2">
        <v>2</v>
      </c>
      <c r="J96" s="2">
        <v>3</v>
      </c>
      <c r="K96" s="2">
        <v>4</v>
      </c>
      <c r="L96" s="2">
        <v>5</v>
      </c>
    </row>
    <row r="97" spans="1:10" ht="12.75">
      <c r="A97" s="3" t="s">
        <v>44</v>
      </c>
      <c r="E97" s="1" t="s">
        <v>45</v>
      </c>
      <c r="H97" s="7"/>
      <c r="J97" s="1" t="s">
        <v>46</v>
      </c>
    </row>
    <row r="98" spans="1:12" ht="12.75">
      <c r="A98" s="3" t="s">
        <v>7</v>
      </c>
      <c r="C98" s="4">
        <f>$F$9</f>
        <v>100000</v>
      </c>
      <c r="D98" s="4"/>
      <c r="E98" s="4"/>
      <c r="F98" s="4"/>
      <c r="G98" s="4"/>
      <c r="H98" s="7">
        <f>C98*G$49/$F$18</f>
        <v>54.69646703818639</v>
      </c>
      <c r="I98" s="7">
        <f aca="true" t="shared" si="8" ref="I98:L100">(H98/G$49+D98*G$47/$F$18)*H$49</f>
        <v>29.834436566283486</v>
      </c>
      <c r="J98" s="7">
        <f t="shared" si="8"/>
        <v>21.638162784337467</v>
      </c>
      <c r="K98" s="7">
        <f t="shared" si="8"/>
        <v>17.60720846534763</v>
      </c>
      <c r="L98" s="7">
        <f t="shared" si="8"/>
        <v>15.241157016015814</v>
      </c>
    </row>
    <row r="99" spans="1:12" ht="12.75">
      <c r="A99" s="3" t="s">
        <v>47</v>
      </c>
      <c r="C99" s="4">
        <f>G$37</f>
        <v>6000</v>
      </c>
      <c r="D99" s="4">
        <f>H$37</f>
        <v>4200</v>
      </c>
      <c r="E99" s="4">
        <f>I$37</f>
        <v>3000</v>
      </c>
      <c r="F99" s="4">
        <f>J$37</f>
        <v>2100</v>
      </c>
      <c r="G99" s="4">
        <f>K$37</f>
        <v>1500</v>
      </c>
      <c r="H99" s="7">
        <f>C99*G$49/$F$18</f>
        <v>3.2817880222911837</v>
      </c>
      <c r="I99" s="7">
        <f t="shared" si="8"/>
        <v>2.834271473796931</v>
      </c>
      <c r="J99" s="7">
        <f t="shared" si="8"/>
        <v>2.50642052251909</v>
      </c>
      <c r="K99" s="7">
        <f t="shared" si="8"/>
        <v>2.253478139002478</v>
      </c>
      <c r="L99" s="7">
        <f t="shared" si="8"/>
        <v>2.060907840487416</v>
      </c>
    </row>
    <row r="100" spans="1:12" ht="12.75">
      <c r="A100" s="3" t="s">
        <v>48</v>
      </c>
      <c r="C100" s="4">
        <f>G$39</f>
        <v>7800.000000000001</v>
      </c>
      <c r="D100" s="4">
        <f>H$39</f>
        <v>7800.000000000001</v>
      </c>
      <c r="E100" s="4">
        <f>I$39</f>
        <v>7800.000000000001</v>
      </c>
      <c r="F100" s="4">
        <f>J$39</f>
        <v>7800.000000000001</v>
      </c>
      <c r="G100" s="4">
        <f>K$39</f>
        <v>7800.000000000001</v>
      </c>
      <c r="H100" s="7">
        <f>C100*G$49/$F$18</f>
        <v>4.266324428978539</v>
      </c>
      <c r="I100" s="7">
        <f t="shared" si="8"/>
        <v>4.266324428978538</v>
      </c>
      <c r="J100" s="7">
        <f t="shared" si="8"/>
        <v>4.266324428978537</v>
      </c>
      <c r="K100" s="7">
        <f t="shared" si="8"/>
        <v>4.266324428978538</v>
      </c>
      <c r="L100" s="7">
        <f t="shared" si="8"/>
        <v>4.266324428978538</v>
      </c>
    </row>
    <row r="101" spans="3:12" ht="12.75">
      <c r="C101" s="10" t="s">
        <v>49</v>
      </c>
      <c r="D101" s="10" t="s">
        <v>49</v>
      </c>
      <c r="E101" s="10" t="s">
        <v>49</v>
      </c>
      <c r="F101" s="10" t="s">
        <v>49</v>
      </c>
      <c r="G101" s="10" t="s">
        <v>49</v>
      </c>
      <c r="H101" s="11" t="s">
        <v>49</v>
      </c>
      <c r="I101" s="11" t="s">
        <v>49</v>
      </c>
      <c r="J101" s="11" t="s">
        <v>49</v>
      </c>
      <c r="K101" s="11" t="s">
        <v>49</v>
      </c>
      <c r="L101" s="11" t="s">
        <v>49</v>
      </c>
    </row>
    <row r="102" spans="1:12" ht="12.75">
      <c r="A102" s="3" t="s">
        <v>50</v>
      </c>
      <c r="C102" s="4">
        <f aca="true" t="shared" si="9" ref="C102:L102">SUM(C98:C101)</f>
        <v>113800</v>
      </c>
      <c r="D102" s="4">
        <f t="shared" si="9"/>
        <v>12000</v>
      </c>
      <c r="E102" s="4">
        <f t="shared" si="9"/>
        <v>10800</v>
      </c>
      <c r="F102" s="4">
        <f t="shared" si="9"/>
        <v>9900</v>
      </c>
      <c r="G102" s="4">
        <f t="shared" si="9"/>
        <v>9300</v>
      </c>
      <c r="H102" s="7">
        <f t="shared" si="9"/>
        <v>62.244579489456115</v>
      </c>
      <c r="I102" s="7">
        <f t="shared" si="9"/>
        <v>36.93503246905895</v>
      </c>
      <c r="J102" s="7">
        <f t="shared" si="9"/>
        <v>28.410907735835096</v>
      </c>
      <c r="K102" s="7">
        <f t="shared" si="9"/>
        <v>24.127011033328646</v>
      </c>
      <c r="L102" s="7">
        <f t="shared" si="9"/>
        <v>21.568389285481768</v>
      </c>
    </row>
    <row r="103" spans="1:12" ht="12.75">
      <c r="A103" s="3" t="s">
        <v>51</v>
      </c>
      <c r="C103" s="4">
        <f>B103+C102*F$47</f>
        <v>113800</v>
      </c>
      <c r="D103" s="4">
        <f>C103+D102*G$47</f>
        <v>123800</v>
      </c>
      <c r="E103" s="4">
        <f>D103+E102*H$47</f>
        <v>131300</v>
      </c>
      <c r="F103" s="4">
        <f>E103+F102*I$47</f>
        <v>137029.16666666666</v>
      </c>
      <c r="G103" s="4">
        <f>F103+G102*J$47</f>
        <v>141514.12037037036</v>
      </c>
      <c r="H103" s="7"/>
      <c r="I103" s="7"/>
      <c r="J103" s="7"/>
      <c r="K103" s="7"/>
      <c r="L103" s="7"/>
    </row>
    <row r="104" spans="1:12" ht="12.75">
      <c r="A104" s="3" t="s">
        <v>52</v>
      </c>
      <c r="H104" s="7"/>
      <c r="I104" s="7"/>
      <c r="J104" s="7"/>
      <c r="K104" s="7"/>
      <c r="L104" s="7"/>
    </row>
    <row r="105" spans="1:12" ht="12.75">
      <c r="A105" s="3" t="s">
        <v>53</v>
      </c>
      <c r="H105" s="7"/>
      <c r="I105" s="7"/>
      <c r="J105" s="7"/>
      <c r="K105" s="7"/>
      <c r="L105" s="7"/>
    </row>
    <row r="106" spans="1:12" ht="12.75">
      <c r="A106" s="3" t="s">
        <v>54</v>
      </c>
      <c r="B106" s="4"/>
      <c r="C106" s="4"/>
      <c r="D106" s="4"/>
      <c r="E106" s="4"/>
      <c r="F106" s="4"/>
      <c r="G106" s="4"/>
      <c r="H106" s="7">
        <f>(B106+C106*G$47)*G$49/$F$18</f>
        <v>0</v>
      </c>
      <c r="I106" s="7">
        <f>(H106/G$49+D106*H$47/$F$18)*H$49</f>
        <v>0</v>
      </c>
      <c r="J106" s="7">
        <f>(I106/H$49+E106*I$47/$F$18)*I$49</f>
        <v>0</v>
      </c>
      <c r="K106" s="7">
        <f>(J106/I$49+F106*J$47/$F$18)*J$49</f>
        <v>0</v>
      </c>
      <c r="L106" s="7">
        <f>(K106/J$49+G106*K$47/$F$18)*K$49</f>
        <v>0</v>
      </c>
    </row>
    <row r="107" spans="2:12" ht="12.75">
      <c r="B107" s="10" t="s">
        <v>49</v>
      </c>
      <c r="C107" s="10" t="s">
        <v>49</v>
      </c>
      <c r="D107" s="10" t="s">
        <v>49</v>
      </c>
      <c r="E107" s="10" t="s">
        <v>49</v>
      </c>
      <c r="F107" s="10" t="s">
        <v>49</v>
      </c>
      <c r="G107" s="10" t="s">
        <v>49</v>
      </c>
      <c r="H107" s="11" t="s">
        <v>49</v>
      </c>
      <c r="I107" s="11" t="s">
        <v>49</v>
      </c>
      <c r="J107" s="11" t="s">
        <v>49</v>
      </c>
      <c r="K107" s="11" t="s">
        <v>49</v>
      </c>
      <c r="L107" s="11" t="s">
        <v>49</v>
      </c>
    </row>
    <row r="108" spans="1:12" ht="12.75">
      <c r="A108" s="3" t="s">
        <v>55</v>
      </c>
      <c r="B108" s="4"/>
      <c r="C108" s="4">
        <f aca="true" t="shared" si="10" ref="C108:L108">SUM(C106:C107)</f>
        <v>0</v>
      </c>
      <c r="D108" s="4">
        <f t="shared" si="10"/>
        <v>0</v>
      </c>
      <c r="E108" s="4">
        <f t="shared" si="10"/>
        <v>0</v>
      </c>
      <c r="F108" s="4">
        <f t="shared" si="10"/>
        <v>0</v>
      </c>
      <c r="G108" s="4">
        <f t="shared" si="10"/>
        <v>0</v>
      </c>
      <c r="H108" s="7">
        <f t="shared" si="10"/>
        <v>0</v>
      </c>
      <c r="I108" s="7">
        <f t="shared" si="10"/>
        <v>0</v>
      </c>
      <c r="J108" s="7">
        <f t="shared" si="10"/>
        <v>0</v>
      </c>
      <c r="K108" s="7">
        <f t="shared" si="10"/>
        <v>0</v>
      </c>
      <c r="L108" s="7">
        <f t="shared" si="10"/>
        <v>0</v>
      </c>
    </row>
    <row r="109" spans="1:12" ht="12.75">
      <c r="A109" s="3" t="s">
        <v>51</v>
      </c>
      <c r="B109" s="4"/>
      <c r="C109" s="4">
        <f>B109+C108*G$47</f>
        <v>0</v>
      </c>
      <c r="D109" s="4">
        <f>C109+D108*H$47</f>
        <v>0</v>
      </c>
      <c r="E109" s="4">
        <f>D109+E108*I$47</f>
        <v>0</v>
      </c>
      <c r="F109" s="4">
        <f>E109+F108*J$47</f>
        <v>0</v>
      </c>
      <c r="G109" s="4">
        <f>F109+G108*K$47</f>
        <v>0</v>
      </c>
      <c r="H109" s="7"/>
      <c r="I109" s="7"/>
      <c r="J109" s="7"/>
      <c r="K109" s="7"/>
      <c r="L109" s="7"/>
    </row>
    <row r="110" spans="1:12" ht="12.75">
      <c r="A110" s="3" t="s">
        <v>56</v>
      </c>
      <c r="H110" s="7"/>
      <c r="I110" s="7"/>
      <c r="J110" s="7"/>
      <c r="K110" s="7"/>
      <c r="L110" s="7"/>
    </row>
    <row r="111" spans="1:12" ht="12.75">
      <c r="A111" s="3" t="s">
        <v>57</v>
      </c>
      <c r="B111" s="4"/>
      <c r="C111" s="4"/>
      <c r="D111" s="4"/>
      <c r="E111" s="4"/>
      <c r="F111" s="4"/>
      <c r="G111" s="4"/>
      <c r="H111" s="7"/>
      <c r="I111" s="7"/>
      <c r="J111" s="7"/>
      <c r="K111" s="7"/>
      <c r="L111" s="7"/>
    </row>
    <row r="112" spans="1:12" ht="12.75">
      <c r="A112" s="3" t="s">
        <v>58</v>
      </c>
      <c r="B112" s="4"/>
      <c r="C112" s="4">
        <f>G$40</f>
        <v>7800.000000000001</v>
      </c>
      <c r="D112" s="4">
        <f>H$40</f>
        <v>8320</v>
      </c>
      <c r="E112" s="4">
        <f>I$40</f>
        <v>8840</v>
      </c>
      <c r="F112" s="4">
        <f>J$40</f>
        <v>9620.000000000002</v>
      </c>
      <c r="G112" s="4">
        <f>K$40</f>
        <v>10400</v>
      </c>
      <c r="H112" s="7">
        <f>(+C112*G$48/$F$18)*G$49</f>
        <v>3.900000000000002</v>
      </c>
      <c r="I112" s="7">
        <f aca="true" t="shared" si="11" ref="I112:L116">(H112/G$49+D112*H$48/$F$18)*H$49</f>
        <v>4.018181818181819</v>
      </c>
      <c r="J112" s="7">
        <f t="shared" si="11"/>
        <v>4.128571428571429</v>
      </c>
      <c r="K112" s="7">
        <f t="shared" si="11"/>
        <v>4.255514157973176</v>
      </c>
      <c r="L112" s="7">
        <f t="shared" si="11"/>
        <v>4.382433885185982</v>
      </c>
    </row>
    <row r="113" spans="1:12" ht="12.75">
      <c r="A113" s="3" t="s">
        <v>59</v>
      </c>
      <c r="B113" s="4"/>
      <c r="C113" s="4">
        <f>G$41</f>
        <v>1000</v>
      </c>
      <c r="D113" s="4">
        <f>H$41</f>
        <v>1000</v>
      </c>
      <c r="E113" s="4">
        <f>I$41</f>
        <v>1000</v>
      </c>
      <c r="F113" s="4">
        <f>J$41</f>
        <v>1000</v>
      </c>
      <c r="G113" s="4">
        <f>K$41</f>
        <v>1000</v>
      </c>
      <c r="H113" s="7">
        <f>(+C113*G$48/$F$18)*G$49</f>
        <v>0.5000000000000002</v>
      </c>
      <c r="I113" s="7">
        <f t="shared" si="11"/>
        <v>0.5000000000000001</v>
      </c>
      <c r="J113" s="7">
        <f t="shared" si="11"/>
        <v>0.5</v>
      </c>
      <c r="K113" s="7">
        <f t="shared" si="11"/>
        <v>0.5000000000000001</v>
      </c>
      <c r="L113" s="7">
        <f t="shared" si="11"/>
        <v>0.5</v>
      </c>
    </row>
    <row r="114" spans="1:12" ht="12.75">
      <c r="A114" s="3" t="s">
        <v>60</v>
      </c>
      <c r="B114" s="4"/>
      <c r="C114" s="4">
        <f>G$42</f>
        <v>6000</v>
      </c>
      <c r="D114" s="4">
        <f>H$42</f>
        <v>8000</v>
      </c>
      <c r="E114" s="4">
        <f>I$42</f>
        <v>10000</v>
      </c>
      <c r="F114" s="4">
        <f>J$42</f>
        <v>12400</v>
      </c>
      <c r="G114" s="4">
        <f>K$42</f>
        <v>15000</v>
      </c>
      <c r="H114" s="7">
        <f>(+C114*G$48/$F$18)*G$49</f>
        <v>3.0000000000000013</v>
      </c>
      <c r="I114" s="7">
        <f t="shared" si="11"/>
        <v>3.4545454545454555</v>
      </c>
      <c r="J114" s="7">
        <f t="shared" si="11"/>
        <v>3.879120879120879</v>
      </c>
      <c r="K114" s="7">
        <f t="shared" si="11"/>
        <v>4.311475409836066</v>
      </c>
      <c r="L114" s="7">
        <f t="shared" si="11"/>
        <v>4.739948398193937</v>
      </c>
    </row>
    <row r="115" spans="1:12" ht="12.75">
      <c r="A115" s="3" t="s">
        <v>26</v>
      </c>
      <c r="C115" s="4">
        <f>G$43</f>
        <v>1600</v>
      </c>
      <c r="D115" s="4">
        <f>H$43</f>
        <v>1600</v>
      </c>
      <c r="E115" s="4">
        <f>I$43</f>
        <v>2400</v>
      </c>
      <c r="F115" s="4">
        <f>J$43</f>
        <v>4000</v>
      </c>
      <c r="G115" s="4">
        <f>K$43</f>
        <v>6400</v>
      </c>
      <c r="H115" s="7">
        <f>(+C115*G$48/$F$18)*G$49</f>
        <v>0.8000000000000004</v>
      </c>
      <c r="I115" s="7">
        <f t="shared" si="11"/>
        <v>0.8000000000000003</v>
      </c>
      <c r="J115" s="7">
        <f t="shared" si="11"/>
        <v>0.9098901098901099</v>
      </c>
      <c r="K115" s="7">
        <f t="shared" si="11"/>
        <v>1.1129657228017886</v>
      </c>
      <c r="L115" s="7">
        <f t="shared" si="11"/>
        <v>1.3934207697269405</v>
      </c>
    </row>
    <row r="116" spans="1:12" ht="12.75">
      <c r="A116" s="3" t="s">
        <v>61</v>
      </c>
      <c r="C116" s="4"/>
      <c r="D116" s="4"/>
      <c r="E116" s="4"/>
      <c r="F116" s="4"/>
      <c r="G116" s="4"/>
      <c r="H116" s="7">
        <f>(+C116*G$48/$F$18)*G$49</f>
        <v>0</v>
      </c>
      <c r="I116" s="7">
        <f t="shared" si="11"/>
        <v>0</v>
      </c>
      <c r="J116" s="7">
        <f t="shared" si="11"/>
        <v>0</v>
      </c>
      <c r="K116" s="7">
        <f t="shared" si="11"/>
        <v>0</v>
      </c>
      <c r="L116" s="7">
        <f t="shared" si="11"/>
        <v>0</v>
      </c>
    </row>
    <row r="117" spans="2:12" ht="12.75">
      <c r="B117" s="10" t="s">
        <v>49</v>
      </c>
      <c r="C117" s="10" t="s">
        <v>49</v>
      </c>
      <c r="D117" s="10" t="s">
        <v>49</v>
      </c>
      <c r="E117" s="10" t="s">
        <v>49</v>
      </c>
      <c r="F117" s="10" t="s">
        <v>49</v>
      </c>
      <c r="G117" s="10" t="s">
        <v>49</v>
      </c>
      <c r="H117" s="11" t="s">
        <v>49</v>
      </c>
      <c r="I117" s="11" t="s">
        <v>49</v>
      </c>
      <c r="J117" s="11" t="s">
        <v>49</v>
      </c>
      <c r="K117" s="11" t="s">
        <v>49</v>
      </c>
      <c r="L117" s="11" t="s">
        <v>49</v>
      </c>
    </row>
    <row r="118" spans="1:12" ht="12.75">
      <c r="A118" s="3" t="s">
        <v>62</v>
      </c>
      <c r="B118" s="4"/>
      <c r="C118" s="4">
        <f aca="true" t="shared" si="12" ref="C118:L118">SUM(C112:C117)</f>
        <v>16400</v>
      </c>
      <c r="D118" s="4">
        <f t="shared" si="12"/>
        <v>18920</v>
      </c>
      <c r="E118" s="4">
        <f t="shared" si="12"/>
        <v>22240</v>
      </c>
      <c r="F118" s="4">
        <f t="shared" si="12"/>
        <v>27020</v>
      </c>
      <c r="G118" s="4">
        <f t="shared" si="12"/>
        <v>32800</v>
      </c>
      <c r="H118" s="7">
        <f t="shared" si="12"/>
        <v>8.200000000000005</v>
      </c>
      <c r="I118" s="7">
        <f t="shared" si="12"/>
        <v>8.772727272727275</v>
      </c>
      <c r="J118" s="7">
        <f t="shared" si="12"/>
        <v>9.417582417582418</v>
      </c>
      <c r="K118" s="7">
        <f t="shared" si="12"/>
        <v>10.17995529061103</v>
      </c>
      <c r="L118" s="7">
        <f t="shared" si="12"/>
        <v>11.015803053106861</v>
      </c>
    </row>
    <row r="119" spans="1:12" ht="12.75">
      <c r="A119" s="3" t="s">
        <v>63</v>
      </c>
      <c r="B119" s="4"/>
      <c r="C119" s="4">
        <f>B119+C118*G$48</f>
        <v>14991.827523842016</v>
      </c>
      <c r="D119" s="4">
        <f>C119+D118*H$48</f>
        <v>29404.702358755174</v>
      </c>
      <c r="E119" s="4">
        <f>D119+E118*I$48</f>
        <v>43523.02231684487</v>
      </c>
      <c r="F119" s="4">
        <f>E119+F118*J$48</f>
        <v>57816.97485235086</v>
      </c>
      <c r="G119" s="4">
        <f>F119+G118*K$48</f>
        <v>72276.6850412417</v>
      </c>
      <c r="H119" s="7"/>
      <c r="I119" s="7"/>
      <c r="J119" s="7"/>
      <c r="K119" s="7"/>
      <c r="L119" s="7"/>
    </row>
    <row r="120" spans="1:12" ht="12.75">
      <c r="A120" s="3" t="s">
        <v>64</v>
      </c>
      <c r="B120" s="4"/>
      <c r="C120" s="4"/>
      <c r="D120" s="4"/>
      <c r="E120" s="4"/>
      <c r="F120" s="4"/>
      <c r="G120" s="4"/>
      <c r="H120" s="7"/>
      <c r="I120" s="7"/>
      <c r="J120" s="7"/>
      <c r="K120" s="7"/>
      <c r="L120" s="7"/>
    </row>
    <row r="121" spans="1:12" ht="12.75">
      <c r="A121" s="3" t="s">
        <v>65</v>
      </c>
      <c r="B121" s="4"/>
      <c r="C121" s="4"/>
      <c r="D121" s="4"/>
      <c r="E121" s="4"/>
      <c r="F121" s="4"/>
      <c r="H121" s="7"/>
      <c r="I121" s="7"/>
      <c r="J121" s="7"/>
      <c r="K121" s="7"/>
      <c r="L121" s="7"/>
    </row>
    <row r="122" spans="1:12" ht="12.75">
      <c r="A122" s="3" t="s">
        <v>66</v>
      </c>
      <c r="B122" s="4"/>
      <c r="C122" s="4">
        <f>-G$33</f>
        <v>-70000</v>
      </c>
      <c r="D122" s="4">
        <f>-H$33</f>
        <v>-50000</v>
      </c>
      <c r="E122" s="4">
        <f>-I$33</f>
        <v>-35000</v>
      </c>
      <c r="F122" s="4">
        <f>-J$33</f>
        <v>-25000</v>
      </c>
      <c r="G122" s="4">
        <f>-K$33</f>
        <v>-20000</v>
      </c>
      <c r="H122" s="7">
        <f aca="true" t="shared" si="13" ref="H122:L123">C122*G$47*G$49/$F$18</f>
        <v>-31.90627243894206</v>
      </c>
      <c r="I122" s="7">
        <f t="shared" si="13"/>
        <v>-10.359179363292874</v>
      </c>
      <c r="J122" s="7">
        <f t="shared" si="13"/>
        <v>-4.382729730623909</v>
      </c>
      <c r="K122" s="7">
        <f t="shared" si="13"/>
        <v>-2.122782656412475</v>
      </c>
      <c r="L122" s="7">
        <f t="shared" si="13"/>
        <v>-1.2250158352636167</v>
      </c>
    </row>
    <row r="123" spans="1:12" ht="12.75">
      <c r="A123" s="3" t="s">
        <v>67</v>
      </c>
      <c r="C123" s="4">
        <f>G$46</f>
        <v>0</v>
      </c>
      <c r="D123" s="4">
        <f>H$46</f>
        <v>0</v>
      </c>
      <c r="E123" s="4">
        <f>I$46</f>
        <v>5000.000000000005</v>
      </c>
      <c r="F123" s="4">
        <f>J$46</f>
        <v>5000.000000000005</v>
      </c>
      <c r="G123" s="4">
        <f>K$46</f>
        <v>5000.000000000005</v>
      </c>
      <c r="H123" s="7">
        <f t="shared" si="13"/>
        <v>0</v>
      </c>
      <c r="I123" s="7">
        <f t="shared" si="13"/>
        <v>0</v>
      </c>
      <c r="J123" s="7">
        <f t="shared" si="13"/>
        <v>0.6261042472319875</v>
      </c>
      <c r="K123" s="7">
        <f t="shared" si="13"/>
        <v>0.4245565312824953</v>
      </c>
      <c r="L123" s="7">
        <f t="shared" si="13"/>
        <v>0.30625395881590445</v>
      </c>
    </row>
    <row r="124" spans="2:12" ht="12.75">
      <c r="B124" s="10" t="s">
        <v>49</v>
      </c>
      <c r="C124" s="10" t="s">
        <v>49</v>
      </c>
      <c r="D124" s="10" t="s">
        <v>49</v>
      </c>
      <c r="E124" s="10" t="s">
        <v>49</v>
      </c>
      <c r="F124" s="10" t="s">
        <v>49</v>
      </c>
      <c r="G124" s="10" t="s">
        <v>49</v>
      </c>
      <c r="H124" s="11" t="s">
        <v>49</v>
      </c>
      <c r="I124" s="11" t="s">
        <v>49</v>
      </c>
      <c r="J124" s="11" t="s">
        <v>49</v>
      </c>
      <c r="K124" s="11" t="s">
        <v>49</v>
      </c>
      <c r="L124" s="11" t="s">
        <v>49</v>
      </c>
    </row>
    <row r="125" spans="1:12" ht="12.75">
      <c r="A125" s="3" t="s">
        <v>68</v>
      </c>
      <c r="C125" s="4">
        <f>(C122+C123)/((1+$F$10)^G$23)</f>
        <v>-58333.333333333336</v>
      </c>
      <c r="D125" s="4">
        <f>(D122+D123)/((1+$F$10)^H$23)</f>
        <v>-34722.222222222226</v>
      </c>
      <c r="E125" s="4">
        <f>(E122+E123)/((1+$F$10)^I$23)</f>
        <v>-17361.11111111111</v>
      </c>
      <c r="F125" s="4">
        <f>(F122+F123)/((1+$F$10)^J$23)</f>
        <v>-9645.06172839506</v>
      </c>
      <c r="G125" s="4">
        <f>(G122+G123)/((1+$F$10)^K$23)</f>
        <v>-6028.163580246913</v>
      </c>
      <c r="H125" s="7">
        <f>SUM(H122:H124)</f>
        <v>-31.90627243894206</v>
      </c>
      <c r="I125" s="7">
        <f>SUM(I122:I124)</f>
        <v>-10.359179363292874</v>
      </c>
      <c r="J125" s="7">
        <f>SUM(J122:J124)</f>
        <v>-3.7566254833919217</v>
      </c>
      <c r="K125" s="7">
        <f>SUM(K122:K124)</f>
        <v>-1.6982261251299797</v>
      </c>
      <c r="L125" s="7">
        <f>SUM(L122:L124)</f>
        <v>-0.9187618764477122</v>
      </c>
    </row>
    <row r="126" spans="8:12" ht="12.75">
      <c r="H126" s="7"/>
      <c r="I126" s="7"/>
      <c r="J126" s="7"/>
      <c r="K126" s="7"/>
      <c r="L126" s="7"/>
    </row>
    <row r="127" spans="1:12" ht="12.75">
      <c r="A127" s="3" t="s">
        <v>69</v>
      </c>
      <c r="C127" s="4">
        <f>C103+C109+C119+C125</f>
        <v>70458.49419050867</v>
      </c>
      <c r="D127" s="4">
        <f>D103+D109+D119+D125</f>
        <v>118482.48013653295</v>
      </c>
      <c r="E127" s="4">
        <f>E103+E109+E119+E125</f>
        <v>157461.91120573378</v>
      </c>
      <c r="F127" s="4">
        <f>F103+F109+F119+F125</f>
        <v>185201.07979062246</v>
      </c>
      <c r="G127" s="4">
        <f>G103+G109+G119+G125</f>
        <v>207762.64183136515</v>
      </c>
      <c r="H127" s="7"/>
      <c r="I127" s="7"/>
      <c r="J127" s="7"/>
      <c r="K127" s="7"/>
      <c r="L127" s="7"/>
    </row>
    <row r="128" spans="1:12" ht="12.75">
      <c r="A128" s="3" t="s">
        <v>70</v>
      </c>
      <c r="C128" s="7">
        <f>C127*((1+$F$10)^C$52)*(LN(1+$F$10)/(((1+$F$10)^C$52)-1))/$F$18</f>
        <v>38.53830705051405</v>
      </c>
      <c r="D128" s="7">
        <f>D127*((1+$F$10)^D$52)*(LN(1+$F$10)/(((1+$F$10)^D$52)-1))/$F$18</f>
        <v>35.34858037849335</v>
      </c>
      <c r="E128" s="7">
        <f>E127*((1+$F$10)^E$52)*(LN(1+$F$10)/(((1+$F$10)^E$52)-1))/$F$18</f>
        <v>34.0718646700256</v>
      </c>
      <c r="F128" s="7">
        <f>F127*((1+$F$10)^F$52)*(LN(1+$F$10)/(((1+$F$10)^F$52)-1))/$F$18</f>
        <v>32.60874019880969</v>
      </c>
      <c r="G128" s="7">
        <f>G127*((1+$F$10)^G$52)*(LN(1+$F$10)/(((1+$F$10)^G$52)-1))/$F$18</f>
        <v>31.665430462140915</v>
      </c>
      <c r="H128" s="7">
        <f>H102+H108+H118+H125</f>
        <v>38.53830705051406</v>
      </c>
      <c r="I128" s="7">
        <f>I102+I108+I118+I125</f>
        <v>35.34858037849335</v>
      </c>
      <c r="J128" s="7">
        <f>J102+J108+J118+J125</f>
        <v>34.07186467002559</v>
      </c>
      <c r="K128" s="7">
        <f>K102+K108+K118+K125</f>
        <v>32.6087401988097</v>
      </c>
      <c r="L128" s="7">
        <f>L102+L108+L118+L125</f>
        <v>31.665430462140918</v>
      </c>
    </row>
    <row r="129" spans="1:12" ht="12.75">
      <c r="A129" s="3" t="s">
        <v>71</v>
      </c>
      <c r="B129" s="7"/>
      <c r="C129" s="2">
        <v>1</v>
      </c>
      <c r="D129" s="2">
        <v>2</v>
      </c>
      <c r="E129" s="2">
        <v>3</v>
      </c>
      <c r="F129" s="2">
        <v>4</v>
      </c>
      <c r="G129" s="2">
        <v>5</v>
      </c>
      <c r="H129" s="12">
        <v>1</v>
      </c>
      <c r="I129" s="12">
        <v>2</v>
      </c>
      <c r="J129" s="12">
        <v>3</v>
      </c>
      <c r="K129" s="12">
        <v>4</v>
      </c>
      <c r="L129" s="12">
        <v>5</v>
      </c>
    </row>
    <row r="130" spans="8:12" ht="12.75">
      <c r="H130" s="7"/>
      <c r="I130" s="7"/>
      <c r="J130" s="7"/>
      <c r="K130" s="7"/>
      <c r="L130" s="7"/>
    </row>
    <row r="131" spans="5:9" ht="12.75">
      <c r="E131" s="4"/>
      <c r="F131" s="4"/>
      <c r="G131" s="4"/>
      <c r="H131" s="4"/>
      <c r="I131" s="4"/>
    </row>
    <row r="132" spans="5:9" ht="12.75">
      <c r="E132" s="4"/>
      <c r="F132" s="4"/>
      <c r="G132" s="4"/>
      <c r="H132" s="4"/>
      <c r="I132" s="4"/>
    </row>
    <row r="133" spans="5:9" ht="12.75">
      <c r="E133" s="4"/>
      <c r="F133" s="4"/>
      <c r="G133" s="4"/>
      <c r="H133" s="4"/>
      <c r="I133" s="4"/>
    </row>
    <row r="134" spans="5:9" ht="12.75">
      <c r="E134" s="4"/>
      <c r="F134" s="4"/>
      <c r="G134" s="4"/>
      <c r="H134" s="4"/>
      <c r="I134" s="4"/>
    </row>
    <row r="135" spans="5:9" ht="12.75">
      <c r="E135" s="4"/>
      <c r="F135" s="4"/>
      <c r="G135" s="4"/>
      <c r="H135" s="4"/>
      <c r="I135" s="4"/>
    </row>
    <row r="136" spans="5:9" ht="12.75">
      <c r="E136" s="4"/>
      <c r="F136" s="4"/>
      <c r="G136" s="4"/>
      <c r="H136" s="4"/>
      <c r="I136" s="4"/>
    </row>
    <row r="137" ht="12.75">
      <c r="E137" s="7"/>
    </row>
    <row r="138" spans="5:9" ht="12.75">
      <c r="E138" s="7"/>
      <c r="F138" s="7"/>
      <c r="G138" s="7"/>
      <c r="H138" s="7"/>
      <c r="I138" s="7"/>
    </row>
    <row r="142" spans="5:9" ht="12.75">
      <c r="E142" s="4"/>
      <c r="F142" s="4"/>
      <c r="G142" s="4"/>
      <c r="H142" s="4"/>
      <c r="I142" s="4"/>
    </row>
    <row r="143" spans="5:9" ht="12.75">
      <c r="E143" s="4"/>
      <c r="F143" s="4"/>
      <c r="G143" s="4"/>
      <c r="H143" s="4"/>
      <c r="I143" s="4"/>
    </row>
    <row r="144" spans="5:9" ht="12.75">
      <c r="E144" s="7"/>
      <c r="F144" s="7"/>
      <c r="G144" s="7"/>
      <c r="H144" s="7"/>
      <c r="I144" s="7"/>
    </row>
    <row r="146" spans="5:9" ht="12.75">
      <c r="E146" s="7"/>
      <c r="F146" s="7"/>
      <c r="G146" s="7"/>
      <c r="H146" s="7"/>
      <c r="I146" s="7"/>
    </row>
  </sheetData>
  <printOptions gridLines="1" headings="1"/>
  <pageMargins left="0.65" right="0.49" top="1.5" bottom="0.75" header="0.5" footer="0.5"/>
  <pageSetup orientation="portrait" scale="75" r:id="rId2"/>
  <rowBreaks count="2" manualBreakCount="2">
    <brk id="50" max="65535" man="1"/>
    <brk id="94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Equipment Cost Spreadsheet</dc:title>
  <dc:subject>Equipment Costs</dc:subject>
  <dc:creator>Robert I. Carr</dc:creator>
  <cp:keywords/>
  <dc:description>Calculates economic life and hourly costs, by
discounted cash flow process and accrual process.
It replaces earlier version of 1989.</dc:description>
  <cp:lastModifiedBy>Robert I. Carr</cp:lastModifiedBy>
  <cp:lastPrinted>1997-10-29T01:37:19Z</cp:lastPrinted>
  <dcterms:created xsi:type="dcterms:W3CDTF">1997-10-22T18:08:10Z</dcterms:created>
  <dcterms:modified xsi:type="dcterms:W3CDTF">2002-11-09T03:03:42Z</dcterms:modified>
  <cp:category/>
  <cp:version/>
  <cp:contentType/>
  <cp:contentStatus/>
</cp:coreProperties>
</file>